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SBK\2023\"/>
    </mc:Choice>
  </mc:AlternateContent>
  <xr:revisionPtr revIDLastSave="0" documentId="8_{DCC7AE12-4E51-4E0B-89DA-872EDE827505}" xr6:coauthVersionLast="47" xr6:coauthVersionMax="47" xr10:uidLastSave="{00000000-0000-0000-0000-000000000000}"/>
  <bookViews>
    <workbookView xWindow="4545" yWindow="4545" windowWidth="21600" windowHeight="12735" tabRatio="734" activeTab="11" xr2:uid="{00000000-000D-0000-FFFF-FFFF00000000}"/>
  </bookViews>
  <sheets>
    <sheet name="220131" sheetId="24" r:id="rId1"/>
    <sheet name="220228" sheetId="1" r:id="rId2"/>
    <sheet name="220331" sheetId="12" r:id="rId3"/>
    <sheet name="220430" sheetId="13" r:id="rId4"/>
    <sheet name="220531" sheetId="14" r:id="rId5"/>
    <sheet name="220630" sheetId="22" r:id="rId6"/>
    <sheet name="220731" sheetId="15" r:id="rId7"/>
    <sheet name="220831" sheetId="16" r:id="rId8"/>
    <sheet name="220930" sheetId="17" r:id="rId9"/>
    <sheet name="221031" sheetId="18" r:id="rId10"/>
    <sheet name="221130" sheetId="19" r:id="rId11"/>
    <sheet name="221231" sheetId="20" r:id="rId12"/>
    <sheet name="Blad3" sheetId="23" r:id="rId13"/>
    <sheet name="Blad5" sheetId="25" r:id="rId14"/>
    <sheet name="Fördelning budget konto" sheetId="21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20" l="1"/>
  <c r="C29" i="20"/>
  <c r="C15" i="20" l="1"/>
  <c r="C8" i="20"/>
  <c r="I12" i="20" l="1"/>
  <c r="I14" i="20"/>
  <c r="I17" i="20"/>
  <c r="I26" i="20"/>
  <c r="J29" i="20"/>
  <c r="I7" i="20"/>
  <c r="I6" i="20"/>
  <c r="C21" i="20" l="1"/>
  <c r="C24" i="20"/>
  <c r="I24" i="20" s="1"/>
  <c r="C23" i="20"/>
  <c r="I23" i="20" s="1"/>
  <c r="C11" i="20"/>
  <c r="C5" i="20"/>
  <c r="C31" i="20"/>
  <c r="C19" i="20"/>
  <c r="I19" i="20" s="1"/>
  <c r="C18" i="20"/>
  <c r="C10" i="20"/>
  <c r="J25" i="20" l="1"/>
  <c r="C32" i="20"/>
  <c r="C33" i="20" s="1"/>
  <c r="G48" i="19"/>
  <c r="G6" i="19"/>
  <c r="G7" i="19"/>
  <c r="G12" i="19"/>
  <c r="G14" i="19"/>
  <c r="G17" i="19"/>
  <c r="G26" i="19"/>
  <c r="C18" i="19"/>
  <c r="C19" i="19"/>
  <c r="G19" i="19" s="1"/>
  <c r="C29" i="19"/>
  <c r="C24" i="19"/>
  <c r="G24" i="19" s="1"/>
  <c r="C23" i="19"/>
  <c r="G23" i="19" s="1"/>
  <c r="C21" i="19"/>
  <c r="C15" i="19"/>
  <c r="C11" i="19"/>
  <c r="C10" i="19"/>
  <c r="C8" i="19"/>
  <c r="C5" i="19"/>
  <c r="C32" i="19" l="1"/>
  <c r="C31" i="19"/>
  <c r="C33" i="19" l="1"/>
  <c r="G6" i="18"/>
  <c r="G7" i="18"/>
  <c r="G12" i="18"/>
  <c r="G14" i="18"/>
  <c r="G17" i="18"/>
  <c r="G19" i="18"/>
  <c r="G24" i="18"/>
  <c r="G26" i="18"/>
  <c r="G28" i="18"/>
  <c r="C29" i="18"/>
  <c r="C8" i="18"/>
  <c r="C24" i="18"/>
  <c r="C23" i="18"/>
  <c r="G23" i="18" s="1"/>
  <c r="C21" i="18"/>
  <c r="C15" i="18"/>
  <c r="C11" i="18"/>
  <c r="C10" i="18"/>
  <c r="C5" i="18"/>
  <c r="G49" i="18"/>
  <c r="C32" i="18" l="1"/>
  <c r="C31" i="18"/>
  <c r="C29" i="17"/>
  <c r="C23" i="17"/>
  <c r="C21" i="17"/>
  <c r="C15" i="17"/>
  <c r="C10" i="17"/>
  <c r="C5" i="17"/>
  <c r="C31" i="17" s="1"/>
  <c r="H44" i="17"/>
  <c r="C11" i="17"/>
  <c r="C8" i="17"/>
  <c r="C32" i="17" l="1"/>
  <c r="C33" i="17" s="1"/>
  <c r="C33" i="18"/>
  <c r="H44" i="16"/>
  <c r="C29" i="16"/>
  <c r="C23" i="16"/>
  <c r="C21" i="16"/>
  <c r="C15" i="16"/>
  <c r="C11" i="16"/>
  <c r="C5" i="16"/>
  <c r="C31" i="16" s="1"/>
  <c r="C10" i="16"/>
  <c r="C8" i="16"/>
  <c r="C32" i="16" l="1"/>
  <c r="C33" i="16"/>
  <c r="H42" i="15"/>
  <c r="C29" i="15"/>
  <c r="C15" i="15"/>
  <c r="C23" i="15"/>
  <c r="C21" i="15"/>
  <c r="C11" i="15"/>
  <c r="C10" i="15"/>
  <c r="C5" i="15"/>
  <c r="C31" i="15" s="1"/>
  <c r="C8" i="15"/>
  <c r="C32" i="15" s="1"/>
  <c r="C33" i="15" l="1"/>
  <c r="H42" i="22"/>
  <c r="C8" i="22"/>
  <c r="C29" i="22"/>
  <c r="C21" i="22"/>
  <c r="C23" i="22"/>
  <c r="C11" i="22"/>
  <c r="C15" i="22"/>
  <c r="C10" i="22"/>
  <c r="C5" i="22"/>
  <c r="C31" i="22" s="1"/>
  <c r="C32" i="22" l="1"/>
  <c r="C33" i="22" l="1"/>
  <c r="H41" i="14"/>
  <c r="C28" i="14" l="1"/>
  <c r="C20" i="14"/>
  <c r="C14" i="14"/>
  <c r="C9" i="14"/>
  <c r="C7" i="14"/>
  <c r="C5" i="14"/>
  <c r="C30" i="14" l="1"/>
  <c r="C10" i="14"/>
  <c r="C31" i="14" s="1"/>
  <c r="C32" i="14" l="1"/>
  <c r="H40" i="13"/>
  <c r="C28" i="13" l="1"/>
  <c r="C20" i="13"/>
  <c r="C14" i="13"/>
  <c r="C31" i="13" s="1"/>
  <c r="C10" i="13"/>
  <c r="C9" i="13"/>
  <c r="C5" i="13"/>
  <c r="C30" i="13" l="1"/>
  <c r="C32" i="13" s="1"/>
  <c r="C28" i="12"/>
  <c r="C20" i="12"/>
  <c r="C14" i="12"/>
  <c r="C9" i="12"/>
  <c r="C5" i="12"/>
  <c r="C30" i="12" s="1"/>
  <c r="C22" i="12"/>
  <c r="C31" i="12" l="1"/>
  <c r="C32" i="12" s="1"/>
  <c r="C20" i="1"/>
  <c r="C28" i="1"/>
  <c r="C14" i="1"/>
  <c r="C31" i="1" s="1"/>
  <c r="C9" i="1"/>
  <c r="C5" i="1"/>
  <c r="C30" i="1" s="1"/>
  <c r="C32" i="1" s="1"/>
  <c r="C30" i="24" l="1"/>
  <c r="C20" i="24"/>
  <c r="C31" i="24" s="1"/>
  <c r="C14" i="24"/>
  <c r="C5" i="24"/>
  <c r="C32" i="24" l="1"/>
  <c r="D29" i="20"/>
  <c r="D21" i="20"/>
  <c r="I21" i="20" s="1"/>
  <c r="J21" i="20" s="1"/>
  <c r="D18" i="20"/>
  <c r="I18" i="20" s="1"/>
  <c r="J20" i="20" s="1"/>
  <c r="D15" i="20"/>
  <c r="I15" i="20" s="1"/>
  <c r="J16" i="20" s="1"/>
  <c r="D11" i="20"/>
  <c r="I11" i="20" s="1"/>
  <c r="D10" i="20"/>
  <c r="I10" i="20" s="1"/>
  <c r="J13" i="20" s="1"/>
  <c r="D8" i="20"/>
  <c r="D5" i="20"/>
  <c r="D29" i="19"/>
  <c r="G29" i="19" s="1"/>
  <c r="D21" i="19"/>
  <c r="G21" i="19" s="1"/>
  <c r="D18" i="19"/>
  <c r="G18" i="19" s="1"/>
  <c r="D15" i="19"/>
  <c r="G15" i="19" s="1"/>
  <c r="D11" i="19"/>
  <c r="G11" i="19" s="1"/>
  <c r="D10" i="19"/>
  <c r="G10" i="19" s="1"/>
  <c r="D8" i="19"/>
  <c r="D5" i="19"/>
  <c r="D29" i="18"/>
  <c r="G29" i="18" s="1"/>
  <c r="D21" i="18"/>
  <c r="G21" i="18" s="1"/>
  <c r="D18" i="18"/>
  <c r="G18" i="18" s="1"/>
  <c r="D15" i="18"/>
  <c r="G15" i="18" s="1"/>
  <c r="D11" i="18"/>
  <c r="G11" i="18" s="1"/>
  <c r="D10" i="18"/>
  <c r="G10" i="18" s="1"/>
  <c r="D8" i="18"/>
  <c r="G8" i="18" s="1"/>
  <c r="D5" i="18"/>
  <c r="D29" i="17"/>
  <c r="D21" i="17"/>
  <c r="D18" i="17"/>
  <c r="D15" i="17"/>
  <c r="D11" i="17"/>
  <c r="D10" i="17"/>
  <c r="D8" i="17"/>
  <c r="D32" i="17" s="1"/>
  <c r="D5" i="17"/>
  <c r="D29" i="16"/>
  <c r="D21" i="16"/>
  <c r="D18" i="16"/>
  <c r="D15" i="16"/>
  <c r="D11" i="16"/>
  <c r="D10" i="16"/>
  <c r="D8" i="16"/>
  <c r="D32" i="16" s="1"/>
  <c r="D5" i="16"/>
  <c r="D29" i="15"/>
  <c r="D21" i="15"/>
  <c r="D18" i="15"/>
  <c r="D15" i="15"/>
  <c r="D11" i="15"/>
  <c r="D10" i="15"/>
  <c r="D8" i="15"/>
  <c r="D5" i="15"/>
  <c r="D29" i="22"/>
  <c r="D21" i="22"/>
  <c r="D18" i="22"/>
  <c r="D15" i="22"/>
  <c r="D11" i="22"/>
  <c r="D10" i="22"/>
  <c r="D8" i="22"/>
  <c r="D32" i="22" s="1"/>
  <c r="D5" i="22"/>
  <c r="D28" i="14"/>
  <c r="D20" i="14"/>
  <c r="D17" i="14"/>
  <c r="D14" i="14"/>
  <c r="D10" i="14"/>
  <c r="D9" i="14"/>
  <c r="D7" i="14"/>
  <c r="D31" i="14" s="1"/>
  <c r="D5" i="14"/>
  <c r="D28" i="13"/>
  <c r="D20" i="13"/>
  <c r="D17" i="13"/>
  <c r="D14" i="13"/>
  <c r="D10" i="13"/>
  <c r="D9" i="13"/>
  <c r="D7" i="13"/>
  <c r="D31" i="13" s="1"/>
  <c r="D5" i="13"/>
  <c r="D28" i="12"/>
  <c r="D20" i="12"/>
  <c r="D17" i="12"/>
  <c r="D14" i="12"/>
  <c r="D10" i="12"/>
  <c r="D9" i="12"/>
  <c r="D7" i="12"/>
  <c r="D31" i="12" s="1"/>
  <c r="D5" i="12"/>
  <c r="D28" i="1"/>
  <c r="D20" i="1"/>
  <c r="D17" i="1"/>
  <c r="D14" i="1"/>
  <c r="D10" i="1"/>
  <c r="D9" i="1"/>
  <c r="D7" i="1"/>
  <c r="D31" i="1" s="1"/>
  <c r="D5" i="1"/>
  <c r="D14" i="24"/>
  <c r="D28" i="24"/>
  <c r="D7" i="24"/>
  <c r="D20" i="24"/>
  <c r="D17" i="24"/>
  <c r="D10" i="24"/>
  <c r="D9" i="24"/>
  <c r="D5" i="24"/>
  <c r="D32" i="19" l="1"/>
  <c r="G32" i="19" s="1"/>
  <c r="G8" i="19"/>
  <c r="D32" i="20"/>
  <c r="I8" i="20"/>
  <c r="J9" i="20" s="1"/>
  <c r="J33" i="20" s="1"/>
  <c r="D30" i="24"/>
  <c r="D30" i="1"/>
  <c r="D32" i="1" s="1"/>
  <c r="D30" i="12"/>
  <c r="D32" i="12" s="1"/>
  <c r="D30" i="13"/>
  <c r="D32" i="13" s="1"/>
  <c r="D30" i="14"/>
  <c r="D31" i="22"/>
  <c r="D33" i="22" s="1"/>
  <c r="D31" i="16"/>
  <c r="D33" i="16" s="1"/>
  <c r="D31" i="17"/>
  <c r="D33" i="17" s="1"/>
  <c r="D31" i="18"/>
  <c r="G31" i="18" s="1"/>
  <c r="G5" i="18"/>
  <c r="D31" i="19"/>
  <c r="G5" i="19"/>
  <c r="D31" i="20"/>
  <c r="D33" i="20" s="1"/>
  <c r="I5" i="20"/>
  <c r="D33" i="19"/>
  <c r="G33" i="19" s="1"/>
  <c r="G31" i="19"/>
  <c r="D32" i="18"/>
  <c r="D31" i="15"/>
  <c r="D32" i="15"/>
  <c r="D33" i="15" s="1"/>
  <c r="D32" i="14"/>
  <c r="D31" i="24"/>
  <c r="D32" i="24" s="1"/>
  <c r="E30" i="24"/>
  <c r="E32" i="24" s="1"/>
  <c r="E31" i="24"/>
  <c r="D33" i="18" l="1"/>
  <c r="G33" i="18" s="1"/>
  <c r="G32" i="18"/>
  <c r="E29" i="20"/>
  <c r="E21" i="20"/>
  <c r="E15" i="20"/>
  <c r="E11" i="20"/>
  <c r="E10" i="20"/>
  <c r="E8" i="20"/>
  <c r="E5" i="20"/>
  <c r="E24" i="20"/>
  <c r="E31" i="20" l="1"/>
  <c r="E32" i="20"/>
  <c r="E29" i="19"/>
  <c r="E8" i="19"/>
  <c r="E21" i="19"/>
  <c r="E24" i="19"/>
  <c r="E15" i="19"/>
  <c r="E11" i="19"/>
  <c r="E10" i="19"/>
  <c r="E5" i="19"/>
  <c r="E33" i="20" l="1"/>
  <c r="E32" i="19"/>
  <c r="E31" i="19"/>
  <c r="E11" i="18"/>
  <c r="E29" i="18"/>
  <c r="E24" i="18"/>
  <c r="E21" i="18"/>
  <c r="E15" i="18"/>
  <c r="E10" i="18"/>
  <c r="E5" i="18"/>
  <c r="E8" i="18"/>
  <c r="E33" i="19" l="1"/>
  <c r="E31" i="18"/>
  <c r="E32" i="18"/>
  <c r="E29" i="17"/>
  <c r="E21" i="17"/>
  <c r="E24" i="17"/>
  <c r="E15" i="17"/>
  <c r="E10" i="17"/>
  <c r="E8" i="17"/>
  <c r="E5" i="17"/>
  <c r="E11" i="17"/>
  <c r="E33" i="18" l="1"/>
  <c r="E32" i="17"/>
  <c r="E31" i="17"/>
  <c r="E15" i="16"/>
  <c r="E29" i="16"/>
  <c r="E24" i="16"/>
  <c r="E21" i="16"/>
  <c r="E11" i="16"/>
  <c r="E10" i="16"/>
  <c r="E5" i="16"/>
  <c r="E31" i="16" s="1"/>
  <c r="E8" i="16"/>
  <c r="E33" i="17" l="1"/>
  <c r="E32" i="16"/>
  <c r="E33" i="16" s="1"/>
  <c r="E29" i="15" l="1"/>
  <c r="E21" i="15"/>
  <c r="E15" i="15"/>
  <c r="E24" i="15"/>
  <c r="E11" i="15"/>
  <c r="E8" i="15"/>
  <c r="E10" i="15"/>
  <c r="E5" i="15"/>
  <c r="E31" i="15" l="1"/>
  <c r="E32" i="15"/>
  <c r="E33" i="15" l="1"/>
  <c r="E29" i="22"/>
  <c r="E21" i="22"/>
  <c r="E24" i="22"/>
  <c r="E15" i="22"/>
  <c r="E8" i="22"/>
  <c r="E5" i="22"/>
  <c r="E31" i="22" s="1"/>
  <c r="E19" i="22"/>
  <c r="E18" i="22"/>
  <c r="E32" i="22" l="1"/>
  <c r="E33" i="22" s="1"/>
  <c r="E28" i="14"/>
  <c r="E14" i="14"/>
  <c r="E5" i="14"/>
  <c r="E30" i="14" s="1"/>
  <c r="E18" i="14"/>
  <c r="E17" i="14"/>
  <c r="E7" i="14"/>
  <c r="E31" i="14" l="1"/>
  <c r="E32" i="14" s="1"/>
  <c r="E28" i="13"/>
  <c r="E7" i="13"/>
  <c r="E14" i="13"/>
  <c r="E5" i="13"/>
  <c r="E30" i="13" s="1"/>
  <c r="E18" i="13"/>
  <c r="E17" i="13"/>
  <c r="E31" i="13" l="1"/>
  <c r="E32" i="13" s="1"/>
  <c r="E14" i="12"/>
  <c r="E16" i="12"/>
  <c r="E22" i="12"/>
  <c r="E5" i="12"/>
  <c r="E28" i="12"/>
  <c r="E18" i="12"/>
  <c r="E17" i="12"/>
  <c r="E31" i="12" l="1"/>
  <c r="E30" i="12"/>
  <c r="E32" i="12" s="1"/>
  <c r="E28" i="1"/>
  <c r="E14" i="1"/>
  <c r="E31" i="1" s="1"/>
  <c r="E18" i="1"/>
  <c r="E17" i="1"/>
  <c r="E22" i="1"/>
  <c r="E16" i="1"/>
  <c r="E30" i="1" s="1"/>
  <c r="E5" i="1"/>
  <c r="E32" i="1" l="1"/>
  <c r="O11" i="21"/>
  <c r="O25" i="21"/>
  <c r="O17" i="21"/>
  <c r="O4" i="21"/>
  <c r="O7" i="21"/>
  <c r="O3" i="21"/>
  <c r="O8" i="21"/>
  <c r="O20" i="21"/>
  <c r="O2" i="21"/>
  <c r="O6" i="21"/>
  <c r="H90" i="21"/>
  <c r="H56" i="21"/>
  <c r="H28" i="21"/>
  <c r="O28" i="21" l="1"/>
  <c r="O27" i="21"/>
  <c r="O29" i="21"/>
  <c r="H95" i="21"/>
  <c r="H97" i="21" s="1"/>
  <c r="H98" i="2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Anette</author>
  </authors>
  <commentList>
    <comment ref="H5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12 kurser ideella
</t>
        </r>
      </text>
    </comment>
    <comment ref="F10" authorId="0" shapeId="0" xr:uid="{00000000-0006-0000-0E00-000002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Lotta O 16800
Annika W 38400
</t>
        </r>
      </text>
    </comment>
    <comment ref="H11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6-7 kurser Radeby
</t>
        </r>
      </text>
    </comment>
    <comment ref="F21" authorId="0" shapeId="0" xr:uid="{00000000-0006-0000-0E00-000004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275 medl á 175:-
</t>
        </r>
      </text>
    </comment>
    <comment ref="H21" authorId="0" shapeId="0" xr:uid="{00000000-0006-0000-0E00-000005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260 medl á 175:-
</t>
        </r>
      </text>
    </comment>
    <comment ref="F37" authorId="0" shapeId="0" xr:uid="{00000000-0006-0000-0E00-000006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vidareutbildn "gamla" instruktörer</t>
        </r>
      </text>
    </comment>
    <comment ref="H37" authorId="0" shapeId="0" xr:uid="{00000000-0006-0000-0E00-000007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HUG fortbildning "gamla" instruktörer
</t>
        </r>
      </text>
    </comment>
    <comment ref="F39" authorId="0" shapeId="0" xr:uid="{00000000-0006-0000-0E00-000008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Kursmtrl 1500
Aktivitet ideella 5000
</t>
        </r>
      </text>
    </comment>
    <comment ref="H39" authorId="0" shapeId="0" xr:uid="{00000000-0006-0000-0E00-000009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Inköp IPO-R mtrl
</t>
        </r>
      </text>
    </comment>
    <comment ref="F40" authorId="0" shapeId="0" xr:uid="{00000000-0006-0000-0E00-00000A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2 nya instruktörer
</t>
        </r>
      </text>
    </comment>
    <comment ref="H40" authorId="0" shapeId="0" xr:uid="{00000000-0006-0000-0E00-00000B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2 nya instr á 6000
1 steg2 instr 6000
kursmtrl 2000
</t>
        </r>
      </text>
    </comment>
    <comment ref="F43" authorId="0" shapeId="0" xr:uid="{00000000-0006-0000-0E00-00000C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fr HUG 20000
</t>
        </r>
      </text>
    </comment>
    <comment ref="H43" authorId="0" shapeId="0" xr:uid="{00000000-0006-0000-0E00-00000D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HUG föreläsning</t>
        </r>
      </text>
    </comment>
    <comment ref="F45" authorId="0" shapeId="0" xr:uid="{00000000-0006-0000-0E00-00000E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Lotta O 14400
Annika W 26600
</t>
        </r>
      </text>
    </comment>
    <comment ref="H46" authorId="0" shapeId="0" xr:uid="{00000000-0006-0000-0E00-00000F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Kostnad Radeby 6-7 kurser
</t>
        </r>
      </text>
    </comment>
    <comment ref="H58" authorId="0" shapeId="0" xr:uid="{00000000-0006-0000-0E00-000010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Lantmännen 5000
Stiftelsen Skånska landskap 3000
Svalövs kommun 500
</t>
        </r>
      </text>
    </comment>
    <comment ref="H63" authorId="0" shapeId="0" xr:uid="{00000000-0006-0000-0E00-000011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Offert för belysnign och unfravärme till altanen på klubbstugan</t>
        </r>
      </text>
    </comment>
    <comment ref="F64" authorId="0" shapeId="0" xr:uid="{00000000-0006-0000-0E00-000012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Ändrat från 20000 till 24000 efter beslut årsmötet</t>
        </r>
      </text>
    </comment>
    <comment ref="F66" authorId="0" shapeId="0" xr:uid="{00000000-0006-0000-0E00-000013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ny pc ekonomi o tävling 
</t>
        </r>
      </text>
    </comment>
    <comment ref="H66" authorId="0" shapeId="0" xr:uid="{00000000-0006-0000-0E00-000014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Inköp pc 6000</t>
        </r>
      </text>
    </comment>
    <comment ref="F70" authorId="0" shapeId="0" xr:uid="{00000000-0006-0000-0E00-000015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jackor 2 gamla instruktörer och 2 nya</t>
        </r>
      </text>
    </comment>
    <comment ref="H70" authorId="0" shapeId="0" xr:uid="{00000000-0006-0000-0E00-000016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jackor till 2 nya instruktörer
</t>
        </r>
      </text>
    </comment>
    <comment ref="F80" authorId="0" shapeId="0" xr:uid="{00000000-0006-0000-0E00-000017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10*50:-
</t>
        </r>
      </text>
    </comment>
    <comment ref="F81" authorId="0" shapeId="0" xr:uid="{00000000-0006-0000-0E00-000018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4*500:-</t>
        </r>
      </text>
    </comment>
    <comment ref="H81" authorId="0" shapeId="0" xr:uid="{00000000-0006-0000-0E00-000019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4*500:-
</t>
        </r>
      </text>
    </comment>
    <comment ref="H82" authorId="0" shapeId="0" xr:uid="{00000000-0006-0000-0E00-00001A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5000.- aktivitet ideella instruktörer
</t>
        </r>
      </text>
    </comment>
    <comment ref="H83" authorId="0" shapeId="0" xr:uid="{00000000-0006-0000-0E00-00001B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40-års jubileum
</t>
        </r>
      </text>
    </comment>
    <comment ref="H84" authorId="0" shapeId="0" xr:uid="{00000000-0006-0000-0E00-00001C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instruktörs - tävlings- kommittee möte
</t>
        </r>
      </text>
    </comment>
    <comment ref="F85" authorId="0" shapeId="0" xr:uid="{00000000-0006-0000-0E00-00001D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2 pizzakväll á 1500
1 julbord á 3000</t>
        </r>
      </text>
    </comment>
    <comment ref="H85" authorId="0" shapeId="0" xr:uid="{00000000-0006-0000-0E00-00001E000000}">
      <text>
        <r>
          <rPr>
            <b/>
            <sz val="9"/>
            <color indexed="81"/>
            <rFont val="Tahoma"/>
            <family val="2"/>
          </rPr>
          <t>Anette:</t>
        </r>
        <r>
          <rPr>
            <sz val="9"/>
            <color indexed="81"/>
            <rFont val="Tahoma"/>
            <family val="2"/>
          </rPr>
          <t xml:space="preserve">
2 pizzakväll á 1500 alt 1 julfest 3000
</t>
        </r>
      </text>
    </comment>
  </commentList>
</comments>
</file>

<file path=xl/sharedStrings.xml><?xml version="1.0" encoding="utf-8"?>
<sst xmlns="http://schemas.openxmlformats.org/spreadsheetml/2006/main" count="826" uniqueCount="262">
  <si>
    <t>Svalövs Brukshundsklubb</t>
  </si>
  <si>
    <t>Årsbudget</t>
  </si>
  <si>
    <t>HUG</t>
  </si>
  <si>
    <t>Intäkter</t>
  </si>
  <si>
    <t>Kostn instruktör</t>
  </si>
  <si>
    <t>Kostnader</t>
  </si>
  <si>
    <t>Tävling</t>
  </si>
  <si>
    <t>Kostnader mtrl</t>
  </si>
  <si>
    <t>Fastighet inkl avskr</t>
  </si>
  <si>
    <t xml:space="preserve">Medlemmar </t>
  </si>
  <si>
    <t>Medl.avg SBK</t>
  </si>
  <si>
    <t>Kök</t>
  </si>
  <si>
    <t>Bidrag</t>
  </si>
  <si>
    <t>Övrigt</t>
  </si>
  <si>
    <t>Total</t>
  </si>
  <si>
    <t xml:space="preserve">Kassa, Bank </t>
  </si>
  <si>
    <t>Medl.möte, Uppskattn, PR, Trivsel, Event, Profilkläder</t>
  </si>
  <si>
    <t>Konto</t>
  </si>
  <si>
    <t>Budget 2020</t>
  </si>
  <si>
    <t>Budget 2021</t>
  </si>
  <si>
    <t>Resultat</t>
  </si>
  <si>
    <t>INTÄKTER</t>
  </si>
  <si>
    <t>Försäljning kök</t>
  </si>
  <si>
    <t>Slyngelträff</t>
  </si>
  <si>
    <t>Valpträff</t>
  </si>
  <si>
    <t>Agility</t>
  </si>
  <si>
    <t>Uddakurser, ideela</t>
  </si>
  <si>
    <t>HUG, Extern instruktör</t>
  </si>
  <si>
    <t>Christina Radeby</t>
  </si>
  <si>
    <t>Tävling appell</t>
  </si>
  <si>
    <t>Tävling lydnad juni</t>
  </si>
  <si>
    <t>Tävling spår</t>
  </si>
  <si>
    <t>Tävling lydnad advent</t>
  </si>
  <si>
    <t>Tävling rally</t>
  </si>
  <si>
    <t>Tävling sök</t>
  </si>
  <si>
    <t>Tävling agility</t>
  </si>
  <si>
    <t>Träningstävling</t>
  </si>
  <si>
    <t>Regelböcker tävling</t>
  </si>
  <si>
    <t>Medlemsavgifter</t>
  </si>
  <si>
    <t>Medl.avg åter fr SBK</t>
  </si>
  <si>
    <t>Uthyrning stuga/plan</t>
  </si>
  <si>
    <t>Övriga sidointäkter</t>
  </si>
  <si>
    <t>Erhållna kommunala bidrag</t>
  </si>
  <si>
    <t>Övriga ersättning o intäkter</t>
  </si>
  <si>
    <t>Summa intäkter</t>
  </si>
  <si>
    <t>KOSTNADER</t>
  </si>
  <si>
    <t>Material kök</t>
  </si>
  <si>
    <t>Inköp matvaror</t>
  </si>
  <si>
    <t>Tävling material o varor</t>
  </si>
  <si>
    <t>Presentkort SM-tävlande</t>
  </si>
  <si>
    <t>Utbildning tävling</t>
  </si>
  <si>
    <t>Fortbildning, föreläsning</t>
  </si>
  <si>
    <t>Funktionärspoäng</t>
  </si>
  <si>
    <t>Instruktörsutbildning</t>
  </si>
  <si>
    <t>Tävlingsinstruktör</t>
  </si>
  <si>
    <t>Föredrag</t>
  </si>
  <si>
    <t>HUG, extern instruktör</t>
  </si>
  <si>
    <t>HUG, Christina Radeby</t>
  </si>
  <si>
    <t>Tävling rallylydnad</t>
  </si>
  <si>
    <t>Tävling rally material</t>
  </si>
  <si>
    <t>Medlemsavgift till SBK</t>
  </si>
  <si>
    <t>Lokalhyra</t>
  </si>
  <si>
    <t>Hyra för mark</t>
  </si>
  <si>
    <t>El, klubbstuga</t>
  </si>
  <si>
    <t>Lokaltillbehör</t>
  </si>
  <si>
    <t>Städning o renhållning</t>
  </si>
  <si>
    <t>Reperation o underhåll av lokaler</t>
  </si>
  <si>
    <t>Belysning och infravärme</t>
  </si>
  <si>
    <t>Gräsklippning</t>
  </si>
  <si>
    <t>Trivsel, blommor mm</t>
  </si>
  <si>
    <t>Dator, skrivare mm</t>
  </si>
  <si>
    <t>Förbrukningsinventarier</t>
  </si>
  <si>
    <t>Förbruksningsmaterial</t>
  </si>
  <si>
    <t>PR</t>
  </si>
  <si>
    <t>Profilkläder</t>
  </si>
  <si>
    <t>Skyltning</t>
  </si>
  <si>
    <t>Representation, markägare</t>
  </si>
  <si>
    <t>Kontorsmaterial</t>
  </si>
  <si>
    <t>Datakommunikation</t>
  </si>
  <si>
    <t>Postbefordran</t>
  </si>
  <si>
    <t>Företagsförsäkring</t>
  </si>
  <si>
    <t>SBK försäkring</t>
  </si>
  <si>
    <t>Hemsida</t>
  </si>
  <si>
    <t>Årsmöte, klubbmöte</t>
  </si>
  <si>
    <t>Styrelsemöte</t>
  </si>
  <si>
    <t>Medlemsmöte</t>
  </si>
  <si>
    <t>Funktionärsmöte/trivsel</t>
  </si>
  <si>
    <t>Event, Öppet Hus, Arrangemang mm</t>
  </si>
  <si>
    <t>Kommitteémöte</t>
  </si>
  <si>
    <t>Trivselmöte</t>
  </si>
  <si>
    <t>Bankkostnad</t>
  </si>
  <si>
    <t>Plusgirokostnad</t>
  </si>
  <si>
    <t>Övriga externa tjänster</t>
  </si>
  <si>
    <t>Uppvaktning</t>
  </si>
  <si>
    <t>Bilersättning</t>
  </si>
  <si>
    <t>Avskrivningar byggnader o markanläggning</t>
  </si>
  <si>
    <t>Summa kostnader</t>
  </si>
  <si>
    <t>Rörelseresultat</t>
  </si>
  <si>
    <t>Årets resultat</t>
  </si>
  <si>
    <t>HUG intäkt</t>
  </si>
  <si>
    <t>Övrigt kostnad</t>
  </si>
  <si>
    <t>Fastighet kostnad</t>
  </si>
  <si>
    <t>Medlemmar kostnad</t>
  </si>
  <si>
    <t>Medl.möte, uppskattning, PR,Trivsel mm</t>
  </si>
  <si>
    <t>HUG kostnad</t>
  </si>
  <si>
    <t>Tävling kostnad</t>
  </si>
  <si>
    <t>Kök kostnad</t>
  </si>
  <si>
    <t>Tävling kostnad mtrl</t>
  </si>
  <si>
    <t>Kök intäkt</t>
  </si>
  <si>
    <t>Tävling intäkt</t>
  </si>
  <si>
    <t>Medlemmar intäkt</t>
  </si>
  <si>
    <t>Fastighet intäkt</t>
  </si>
  <si>
    <t>Övrigt intäkt</t>
  </si>
  <si>
    <t>Resultat 2022-01-31</t>
  </si>
  <si>
    <t>Balansräkning 2022-01-31</t>
  </si>
  <si>
    <r>
      <t xml:space="preserve">Antal medlemmar 2021-01-31:  </t>
    </r>
    <r>
      <rPr>
        <b/>
        <sz val="11"/>
        <color theme="1"/>
        <rFont val="Calibri"/>
        <family val="2"/>
        <scheme val="minor"/>
      </rPr>
      <t>284</t>
    </r>
  </si>
  <si>
    <t>Resultat 2022-02-28</t>
  </si>
  <si>
    <t>220101-220228</t>
  </si>
  <si>
    <t>jmf 210131</t>
  </si>
  <si>
    <t>220101-220131</t>
  </si>
  <si>
    <t>jmf 210228</t>
  </si>
  <si>
    <t>Balansräkning 2022-02-28</t>
  </si>
  <si>
    <t>Balansräkning 2022-03-31</t>
  </si>
  <si>
    <t>jmf 210331</t>
  </si>
  <si>
    <t>Resultat 2022-03-31</t>
  </si>
  <si>
    <t>220101-220331</t>
  </si>
  <si>
    <t>Balansräkning 2022-04-30</t>
  </si>
  <si>
    <t>jmf 210430</t>
  </si>
  <si>
    <t>220101-220430</t>
  </si>
  <si>
    <t>Resultat 2022-04-30</t>
  </si>
  <si>
    <t>Balansräkning 2022-05-31</t>
  </si>
  <si>
    <t>Resultat 2022-05-31</t>
  </si>
  <si>
    <t>jmf 210531</t>
  </si>
  <si>
    <t>220101-220531</t>
  </si>
  <si>
    <t>Balansräkning 2022-06-30</t>
  </si>
  <si>
    <t>Resultat 2022-06-30</t>
  </si>
  <si>
    <t>jmf 210630</t>
  </si>
  <si>
    <t>220101-220630</t>
  </si>
  <si>
    <t>Balansräkning 2022-07-31</t>
  </si>
  <si>
    <t>Resultat 2022-07-31</t>
  </si>
  <si>
    <t xml:space="preserve">jmf 220101 </t>
  </si>
  <si>
    <t>220101-220731</t>
  </si>
  <si>
    <t>Balansräkning 2022-08-31</t>
  </si>
  <si>
    <t>Resultat 2022-08-31</t>
  </si>
  <si>
    <t>jmf 210831</t>
  </si>
  <si>
    <t>220101-220831</t>
  </si>
  <si>
    <t>Balansräkning 2022-09-30</t>
  </si>
  <si>
    <t>Resultat 2022-09-30</t>
  </si>
  <si>
    <t>jmf 210930</t>
  </si>
  <si>
    <t>220101-220930</t>
  </si>
  <si>
    <t>Resultat 2022-10-31</t>
  </si>
  <si>
    <t>jmf 211031</t>
  </si>
  <si>
    <t>220101-221031</t>
  </si>
  <si>
    <t>Balansräkning 2022-10-31</t>
  </si>
  <si>
    <t>Balansräkning 2022-11-30</t>
  </si>
  <si>
    <t>Resultat 2022-11-30</t>
  </si>
  <si>
    <t>jmf 211130</t>
  </si>
  <si>
    <t>220101-221130</t>
  </si>
  <si>
    <t>Balansräkning 2022-12-31</t>
  </si>
  <si>
    <t>jmf 211231</t>
  </si>
  <si>
    <t>220101-221231</t>
  </si>
  <si>
    <t>Resultat 2022-12-31</t>
  </si>
  <si>
    <t>utbildn provled IPO-R</t>
  </si>
  <si>
    <t>hyror</t>
  </si>
  <si>
    <t>SBK Skåne avg med Corona-avdrag</t>
  </si>
  <si>
    <t>Instruktörsmöte</t>
  </si>
  <si>
    <t>Bankavg 2022</t>
  </si>
  <si>
    <t>Kommentar</t>
  </si>
  <si>
    <t>3kurser startat i jan, 5 startar i mars (1 CR)</t>
  </si>
  <si>
    <r>
      <t xml:space="preserve">Antal medlemmar 2022-02-28:  </t>
    </r>
    <r>
      <rPr>
        <b/>
        <sz val="11"/>
        <color theme="1"/>
        <rFont val="Calibri"/>
        <family val="2"/>
        <scheme val="minor"/>
      </rPr>
      <t xml:space="preserve">286 </t>
    </r>
    <r>
      <rPr>
        <sz val="8"/>
        <color theme="1"/>
        <rFont val="Calibri"/>
        <family val="2"/>
        <scheme val="minor"/>
      </rPr>
      <t>(med viss reservation eftersom SBK´s system ej är igång)</t>
    </r>
  </si>
  <si>
    <r>
      <t xml:space="preserve">Antal medlemmar 2022-03-31:  </t>
    </r>
    <r>
      <rPr>
        <b/>
        <sz val="11"/>
        <color theme="1"/>
        <rFont val="Calibri"/>
        <family val="2"/>
        <scheme val="minor"/>
      </rPr>
      <t>296</t>
    </r>
  </si>
  <si>
    <t>avrkn fr SBK för feb-mars saknas</t>
  </si>
  <si>
    <t>7 kurs tom mars, 2 start april</t>
  </si>
  <si>
    <t>el 25%lägre förbrukn men 2000 högre kostn</t>
  </si>
  <si>
    <t>2 utbild instrukt kommer i april</t>
  </si>
  <si>
    <r>
      <t xml:space="preserve">Antal medlemmar 2022-04-30:  </t>
    </r>
    <r>
      <rPr>
        <b/>
        <sz val="11"/>
        <color theme="1"/>
        <rFont val="Calibri"/>
        <family val="2"/>
        <scheme val="minor"/>
      </rPr>
      <t>301</t>
    </r>
  </si>
  <si>
    <t>2 st inst.utbildn</t>
  </si>
  <si>
    <t>ingen avräkning fr SBK sedan feb</t>
  </si>
  <si>
    <t>52tkr bättre resultat jmf 2021</t>
  </si>
  <si>
    <t>saknas CR aprilrkn knappt 8tkr</t>
  </si>
  <si>
    <t>appelltävling</t>
  </si>
  <si>
    <t>trivsel inköp utemöbler 4tkr</t>
  </si>
  <si>
    <t>mer i intäkter för kurser 2022 jmf 2021</t>
  </si>
  <si>
    <t>lägre kostnader för HUG jmf 2021</t>
  </si>
  <si>
    <t>bättre reslutat tävling jmf 2021 (2021 tävlingar inställda pga pandemin)</t>
  </si>
  <si>
    <t>lägre kostnader jmf 2021 (2021 20tkr värme altanen)</t>
  </si>
  <si>
    <t>lägre intäkter medlemmar jmf 2021 men de sakans avräkning från SBK sedan feb. 35 fler medlemmar 2022 jmf 2021</t>
  </si>
  <si>
    <t>högre kostnader jmf 2021 (bilersättning instruktörer)</t>
  </si>
  <si>
    <t>högre kostnader möten/trivsel (pandemin har släppt + 4tkr inköp utemöbler)</t>
  </si>
  <si>
    <r>
      <t xml:space="preserve">Antal medlemmar 2022-05-31:  </t>
    </r>
    <r>
      <rPr>
        <b/>
        <sz val="11"/>
        <color theme="1"/>
        <rFont val="Calibri"/>
        <family val="2"/>
        <scheme val="minor"/>
      </rPr>
      <t>303</t>
    </r>
  </si>
  <si>
    <t>appell, lydnad juni, spår juli, träningstävling</t>
  </si>
  <si>
    <t>53tkr bättre resultat jmf 2021</t>
  </si>
  <si>
    <t>lägre kostnad för avtalsinstr.</t>
  </si>
  <si>
    <t>bidrag för utbildning av nya instruktörer är utbetalt 10tkr</t>
  </si>
  <si>
    <t>högre kostnader möten/trivsel (pandemin har släppt + 7,5tkr inköp utemöbler)</t>
  </si>
  <si>
    <t>lägre kostnader jmf 2021 (2021 20tkr värme altanen, 2022 1,7tkr varmvattenberedare)</t>
  </si>
  <si>
    <t>el samma kostnad 2022 som 2021 men 35% lägre förbrukning 2022, gräsklippningen igång</t>
  </si>
  <si>
    <r>
      <t xml:space="preserve">Antal medlemmar 2022-06-30:  </t>
    </r>
    <r>
      <rPr>
        <b/>
        <sz val="11"/>
        <color theme="1"/>
        <rFont val="Calibri"/>
        <family val="2"/>
        <scheme val="minor"/>
      </rPr>
      <t>305</t>
    </r>
  </si>
  <si>
    <t>43tkr bättre resultat jmf 2021</t>
  </si>
  <si>
    <t>el 3tkr dyrare 2022 jmf 2021, gräsklippningen 2 tkr dyrare 2022</t>
  </si>
  <si>
    <r>
      <t xml:space="preserve">Antal medlemmar 2022-07-31:    </t>
    </r>
    <r>
      <rPr>
        <b/>
        <sz val="11"/>
        <color theme="1"/>
        <rFont val="Calibri"/>
        <family val="2"/>
        <scheme val="minor"/>
      </rPr>
      <t>302</t>
    </r>
  </si>
  <si>
    <t>47,5tkr bättre resultat jmf 2021</t>
  </si>
  <si>
    <t>bättre reslutat tävling jmf 2021 (2021flera tävlingar inställda pga pandemin)</t>
  </si>
  <si>
    <t>Fastighet</t>
  </si>
  <si>
    <t>Möte mm</t>
  </si>
  <si>
    <t>el 3tkr dyrare 2022 jmf 2021, gräsklippningen 3,5tkr dyrare 2022</t>
  </si>
  <si>
    <t>lägre kostnader jmf 2021 (2021 20tkr värme altanen, 2022 1,7tkr vvb, 1,5 beg spis, 1,7 grill)</t>
  </si>
  <si>
    <r>
      <t xml:space="preserve">Antal medlemmar 2022-08-31:  </t>
    </r>
    <r>
      <rPr>
        <b/>
        <sz val="11"/>
        <color theme="1"/>
        <rFont val="Calibri"/>
        <family val="2"/>
        <scheme val="minor"/>
      </rPr>
      <t>317</t>
    </r>
  </si>
  <si>
    <t>38 tkr bättre resultat jmf med 2021</t>
  </si>
  <si>
    <t>el 3,5tkr dyrare 2022 jmf 2021, gräsklippningen 2,7tkr dyrare 2022</t>
  </si>
  <si>
    <t>högre kostnader för köket dels pga tävlingarna</t>
  </si>
  <si>
    <t>Medlemmar</t>
  </si>
  <si>
    <t>Eftersläpning från SBK</t>
  </si>
  <si>
    <r>
      <t xml:space="preserve">Antal medlemmar 2022-09-30:  </t>
    </r>
    <r>
      <rPr>
        <b/>
        <sz val="11"/>
        <color theme="1"/>
        <rFont val="Calibri"/>
        <family val="2"/>
        <scheme val="minor"/>
      </rPr>
      <t>322</t>
    </r>
  </si>
  <si>
    <t>45 tkr bättre resultat jmf med 2021</t>
  </si>
  <si>
    <t>el 3,8tkr dyrare 2022 jmf 2021, gräsklippningen 1,5tkr dyrare 2022</t>
  </si>
  <si>
    <t>högre kostnader möten/trivsel (pandemin har släppt + 7,5tkr inköp utemöbler, 4tkr profilkläder, 4tkr event instruktörer/medhjälpare)</t>
  </si>
  <si>
    <r>
      <t xml:space="preserve">Antal medlemmar 2022-10-31: </t>
    </r>
    <r>
      <rPr>
        <b/>
        <sz val="11"/>
        <color theme="1"/>
        <rFont val="Calibri"/>
        <family val="2"/>
        <scheme val="minor"/>
      </rPr>
      <t xml:space="preserve"> 298</t>
    </r>
  </si>
  <si>
    <t>51tkr bättre resultat jmf med 2021</t>
  </si>
  <si>
    <t>högre intäkter för kurser 2022 jmf 2021</t>
  </si>
  <si>
    <t>el 3,9tkr dyrare 2022 jmf 2021, gräsklippningen 1,7tkr dyrare 2022</t>
  </si>
  <si>
    <t>högre kostnader möten/trivsel (pandemin har släppt + 7,5tkr inköp utemöbler, 6tkr profilkläder, 4tkr event instruktörer/medhjälpare)</t>
  </si>
  <si>
    <t>Jmf resultat 2210 mot budget helår</t>
  </si>
  <si>
    <t>ngt lägre intäkter på kurser jmf med budget</t>
  </si>
  <si>
    <t>lägre antal kurser med avtalsinstr än budgeterat</t>
  </si>
  <si>
    <t>ngt fler anmälningar tävling</t>
  </si>
  <si>
    <t>saknas kostn för lydn.nov</t>
  </si>
  <si>
    <t>inköp för nya LK3</t>
  </si>
  <si>
    <t>IPO-r-gunga billigare, fortbildning instr saknas, repr.markägare kommer, underhåll mtrl saknas</t>
  </si>
  <si>
    <t>50tkr uppfräschning, el budget 40tkr (saknas kostnad för sept-dec), gräsklippare inte inköpt</t>
  </si>
  <si>
    <t>stort eftersläp från SBK</t>
  </si>
  <si>
    <t>tillkommer medl.möte, julbord?, 42-års jubileum</t>
  </si>
  <si>
    <t>högre kostnader än intäkter!</t>
  </si>
  <si>
    <t>ansökan är inskickad i oktober</t>
  </si>
  <si>
    <r>
      <t xml:space="preserve">Antal medlemmar 2022-11-30:  </t>
    </r>
    <r>
      <rPr>
        <b/>
        <sz val="11"/>
        <color theme="1"/>
        <rFont val="Calibri"/>
        <family val="2"/>
        <scheme val="minor"/>
      </rPr>
      <t>285</t>
    </r>
  </si>
  <si>
    <t>50tkr uppfräschning, el budget 40tkr (saknas kostnad för okt-dec), gräsklippare inte inköpt</t>
  </si>
  <si>
    <t>tillkommer pizzakväll</t>
  </si>
  <si>
    <t>eftersläp från SBK</t>
  </si>
  <si>
    <t>lägre kostander (en domare mindra nov-lydn), saknas stambokf.kostn</t>
  </si>
  <si>
    <t>40tkr bättre resultat jmf med 2021</t>
  </si>
  <si>
    <t>el 5tkr dyrare 2022 jmf 2021, gräsklippningen 1,9tkr dyrare 2022</t>
  </si>
  <si>
    <t>Inköp dator 2021</t>
  </si>
  <si>
    <r>
      <t xml:space="preserve">Antal medlemmar 2022-12-31:  </t>
    </r>
    <r>
      <rPr>
        <b/>
        <sz val="11"/>
        <color theme="1"/>
        <rFont val="Calibri"/>
        <family val="2"/>
        <scheme val="minor"/>
      </rPr>
      <t>284</t>
    </r>
  </si>
  <si>
    <t>Resultat jämfört med budget</t>
  </si>
  <si>
    <t>bättre resultat än budget</t>
  </si>
  <si>
    <t>bidrag utbildning, ej med i budget</t>
  </si>
  <si>
    <t>Totalt 70tkr bättre resultat för HUG jmf med budget</t>
  </si>
  <si>
    <t>lägre kostnader, föredrag/aktivitet ej genomförda</t>
  </si>
  <si>
    <t>lägre kostnader för avtalsinstruktör pga färre kurser med CR. Totalt fler kurse än 2021</t>
  </si>
  <si>
    <t>något högre intäkter än budget</t>
  </si>
  <si>
    <t>lägre kostnader, ingen utbildning av TL,TS</t>
  </si>
  <si>
    <t xml:space="preserve">något högre kostnader för mtrl pga nya regler </t>
  </si>
  <si>
    <t>Totalt 10tkr bättre resultat för Tävling jmf med budget</t>
  </si>
  <si>
    <t>lägre kostnader, byte av belysning först jan -23, El ngt lägre, Gräsklippning ngt lägre</t>
  </si>
  <si>
    <t>Totalt- 5tkr intäkt jmf med kostnader</t>
  </si>
  <si>
    <t xml:space="preserve">Totalt ngt sämre resultat jmf med budget </t>
  </si>
  <si>
    <t>Möte,Trivsel</t>
  </si>
  <si>
    <t>Totalt</t>
  </si>
  <si>
    <t xml:space="preserve">Totalt 52,5tkr lägre kostnader än budgeterat </t>
  </si>
  <si>
    <t>Möten, Trivsel, Profilkläder mm  ligger i nivå med budget</t>
  </si>
  <si>
    <t>Totalt 5tkr sämre resultat jmf med budget</t>
  </si>
  <si>
    <t>Bättre resultat jmf med budgeterat, 51tkr i vinst jmf med 70tkr i förlust i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</si>
</sst>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0" xfId="0" applyFill="1"/>
    <xf numFmtId="0" fontId="3" fillId="0" borderId="0" xfId="0" applyFont="1" applyFill="1"/>
    <xf numFmtId="0" fontId="4" fillId="0" borderId="0" xfId="0" applyFont="1"/>
    <xf numFmtId="0" fontId="5" fillId="0" borderId="0" xfId="0" applyFont="1" applyFill="1"/>
    <xf numFmtId="0" fontId="3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center" wrapText="1"/>
    </xf>
    <xf numFmtId="0" fontId="9" fillId="4" borderId="0" xfId="0" applyFont="1" applyFill="1" applyAlignment="1">
      <alignment horizontal="center" wrapText="1"/>
    </xf>
    <xf numFmtId="0" fontId="9" fillId="5" borderId="0" xfId="0" applyFont="1" applyFill="1" applyAlignment="1">
      <alignment wrapText="1"/>
    </xf>
    <xf numFmtId="0" fontId="8" fillId="2" borderId="0" xfId="0" applyFont="1" applyFill="1" applyAlignment="1">
      <alignment horizontal="left" vertical="top" wrapText="1"/>
    </xf>
    <xf numFmtId="0" fontId="0" fillId="6" borderId="0" xfId="0" applyFill="1" applyAlignment="1">
      <alignment wrapText="1"/>
    </xf>
    <xf numFmtId="0" fontId="10" fillId="0" borderId="0" xfId="0" applyFont="1" applyFill="1"/>
    <xf numFmtId="0" fontId="9" fillId="3" borderId="0" xfId="0" applyFont="1" applyFill="1" applyAlignment="1">
      <alignment wrapText="1"/>
    </xf>
    <xf numFmtId="4" fontId="9" fillId="5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4" fontId="9" fillId="3" borderId="0" xfId="0" applyNumberFormat="1" applyFont="1" applyFill="1"/>
    <xf numFmtId="4" fontId="9" fillId="4" borderId="0" xfId="0" applyNumberFormat="1" applyFont="1" applyFill="1"/>
    <xf numFmtId="4" fontId="9" fillId="5" borderId="0" xfId="0" applyNumberFormat="1" applyFont="1" applyFill="1"/>
    <xf numFmtId="0" fontId="7" fillId="0" borderId="0" xfId="0" applyFont="1" applyFill="1" applyAlignment="1">
      <alignment horizontal="center"/>
    </xf>
    <xf numFmtId="0" fontId="7" fillId="0" borderId="0" xfId="0" applyFont="1" applyFill="1"/>
    <xf numFmtId="0" fontId="10" fillId="0" borderId="0" xfId="0" applyFont="1" applyFill="1" applyAlignment="1">
      <alignment horizontal="center"/>
    </xf>
    <xf numFmtId="4" fontId="10" fillId="3" borderId="0" xfId="0" applyNumberFormat="1" applyFont="1" applyFill="1"/>
    <xf numFmtId="4" fontId="10" fillId="4" borderId="0" xfId="0" applyNumberFormat="1" applyFont="1" applyFill="1"/>
    <xf numFmtId="4" fontId="10" fillId="5" borderId="0" xfId="0" applyNumberFormat="1" applyFont="1" applyFill="1"/>
    <xf numFmtId="4" fontId="7" fillId="4" borderId="0" xfId="0" applyNumberFormat="1" applyFont="1" applyFill="1"/>
    <xf numFmtId="0" fontId="10" fillId="0" borderId="0" xfId="0" applyFont="1"/>
    <xf numFmtId="0" fontId="9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0" xfId="0" applyFont="1" applyFill="1"/>
    <xf numFmtId="4" fontId="11" fillId="3" borderId="0" xfId="0" applyNumberFormat="1" applyFont="1" applyFill="1"/>
    <xf numFmtId="4" fontId="12" fillId="4" borderId="0" xfId="0" applyNumberFormat="1" applyFont="1" applyFill="1"/>
    <xf numFmtId="4" fontId="11" fillId="5" borderId="0" xfId="0" applyNumberFormat="1" applyFont="1" applyFill="1"/>
    <xf numFmtId="0" fontId="9" fillId="5" borderId="0" xfId="0" applyFont="1" applyFill="1"/>
    <xf numFmtId="0" fontId="9" fillId="3" borderId="0" xfId="0" applyFont="1" applyFill="1"/>
    <xf numFmtId="4" fontId="9" fillId="0" borderId="0" xfId="0" applyNumberFormat="1" applyFont="1" applyFill="1"/>
    <xf numFmtId="0" fontId="0" fillId="0" borderId="0" xfId="0" applyAlignment="1">
      <alignment horizontal="center"/>
    </xf>
    <xf numFmtId="0" fontId="9" fillId="0" borderId="0" xfId="0" applyFont="1" applyFill="1" applyAlignment="1">
      <alignment horizontal="center" wrapText="1"/>
    </xf>
    <xf numFmtId="0" fontId="9" fillId="0" borderId="0" xfId="0" applyFont="1" applyFill="1" applyAlignment="1">
      <alignment wrapText="1"/>
    </xf>
    <xf numFmtId="4" fontId="9" fillId="3" borderId="0" xfId="0" applyNumberFormat="1" applyFont="1" applyFill="1" applyAlignment="1">
      <alignment wrapText="1"/>
    </xf>
    <xf numFmtId="4" fontId="9" fillId="4" borderId="0" xfId="0" applyNumberFormat="1" applyFont="1" applyFill="1" applyAlignment="1">
      <alignment wrapText="1"/>
    </xf>
    <xf numFmtId="0" fontId="0" fillId="0" borderId="0" xfId="0" applyNumberFormat="1"/>
    <xf numFmtId="0" fontId="1" fillId="0" borderId="0" xfId="0" applyFont="1" applyFill="1"/>
    <xf numFmtId="3" fontId="1" fillId="0" borderId="0" xfId="0" applyNumberFormat="1" applyFont="1"/>
    <xf numFmtId="0" fontId="15" fillId="0" borderId="0" xfId="0" applyFont="1"/>
    <xf numFmtId="3" fontId="1" fillId="0" borderId="0" xfId="0" applyNumberFormat="1" applyFont="1" applyFill="1"/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5" fillId="0" borderId="0" xfId="0" applyFont="1" applyFill="1" applyAlignment="1">
      <alignment wrapText="1"/>
    </xf>
    <xf numFmtId="3" fontId="0" fillId="0" borderId="0" xfId="0" applyNumberFormat="1"/>
    <xf numFmtId="0" fontId="0" fillId="0" borderId="0" xfId="0" applyAlignment="1">
      <alignment horizontal="left"/>
    </xf>
    <xf numFmtId="0" fontId="6" fillId="0" borderId="0" xfId="0" applyFont="1"/>
    <xf numFmtId="0" fontId="17" fillId="0" borderId="0" xfId="0" applyFont="1"/>
    <xf numFmtId="0" fontId="0" fillId="0" borderId="0" xfId="0" applyAlignment="1"/>
    <xf numFmtId="0" fontId="1" fillId="0" borderId="0" xfId="0" applyFont="1" applyAlignment="1"/>
    <xf numFmtId="0" fontId="0" fillId="0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0"/>
  <sheetViews>
    <sheetView workbookViewId="0">
      <selection activeCell="O18" sqref="O18"/>
    </sheetView>
  </sheetViews>
  <sheetFormatPr defaultRowHeight="15" x14ac:dyDescent="0.25"/>
  <cols>
    <col min="1" max="1" width="24.7109375" style="1" customWidth="1"/>
    <col min="2" max="2" width="16.28515625" style="1" customWidth="1"/>
    <col min="3" max="3" width="14.42578125" customWidth="1"/>
    <col min="4" max="5" width="13.85546875" style="1" customWidth="1"/>
    <col min="6" max="6" width="12.7109375" style="1" customWidth="1"/>
    <col min="7" max="7" width="14.140625" style="1" customWidth="1"/>
    <col min="8" max="16384" width="9.140625" style="1"/>
  </cols>
  <sheetData>
    <row r="1" spans="1:7" x14ac:dyDescent="0.25">
      <c r="A1" s="1" t="s">
        <v>0</v>
      </c>
      <c r="C1" s="1"/>
    </row>
    <row r="3" spans="1:7" x14ac:dyDescent="0.25">
      <c r="A3" s="1" t="s">
        <v>113</v>
      </c>
      <c r="C3" s="1" t="s">
        <v>119</v>
      </c>
      <c r="D3" s="2" t="s">
        <v>1</v>
      </c>
      <c r="E3" s="2" t="s">
        <v>118</v>
      </c>
      <c r="G3" s="2"/>
    </row>
    <row r="5" spans="1:7" x14ac:dyDescent="0.25">
      <c r="A5" s="1" t="s">
        <v>2</v>
      </c>
      <c r="B5" s="1" t="s">
        <v>3</v>
      </c>
      <c r="C5" s="1">
        <f>23595+50</f>
        <v>23645</v>
      </c>
      <c r="D5" s="1">
        <f>93600+4000+96000</f>
        <v>193600</v>
      </c>
    </row>
    <row r="6" spans="1:7" x14ac:dyDescent="0.25">
      <c r="B6" s="1" t="s">
        <v>4</v>
      </c>
      <c r="C6" s="1"/>
      <c r="D6" s="1">
        <v>70400</v>
      </c>
    </row>
    <row r="7" spans="1:7" x14ac:dyDescent="0.25">
      <c r="B7" s="1" t="s">
        <v>5</v>
      </c>
      <c r="C7" s="1"/>
      <c r="D7" s="1">
        <f>12500+15000+8000+4000+3000</f>
        <v>42500</v>
      </c>
    </row>
    <row r="8" spans="1:7" x14ac:dyDescent="0.25">
      <c r="C8" s="1"/>
    </row>
    <row r="9" spans="1:7" x14ac:dyDescent="0.25">
      <c r="A9" s="1" t="s">
        <v>6</v>
      </c>
      <c r="B9" s="1" t="s">
        <v>3</v>
      </c>
      <c r="C9" s="1">
        <v>350</v>
      </c>
      <c r="D9" s="1">
        <f>1700+4000+6300+10000+4200+1500+2000</f>
        <v>29700</v>
      </c>
    </row>
    <row r="10" spans="1:7" x14ac:dyDescent="0.25">
      <c r="B10" s="1" t="s">
        <v>5</v>
      </c>
      <c r="C10" s="1">
        <v>1500</v>
      </c>
      <c r="D10" s="1">
        <f>9000+500+1700+3000+6000+4000+5000+500</f>
        <v>29700</v>
      </c>
    </row>
    <row r="11" spans="1:7" x14ac:dyDescent="0.25">
      <c r="B11" s="1" t="s">
        <v>7</v>
      </c>
      <c r="C11" s="1"/>
      <c r="D11" s="1">
        <v>2500</v>
      </c>
    </row>
    <row r="12" spans="1:7" x14ac:dyDescent="0.25">
      <c r="C12" s="1"/>
    </row>
    <row r="13" spans="1:7" x14ac:dyDescent="0.25">
      <c r="A13" s="1" t="s">
        <v>8</v>
      </c>
      <c r="B13" s="1" t="s">
        <v>3</v>
      </c>
      <c r="C13" s="1"/>
    </row>
    <row r="14" spans="1:7" x14ac:dyDescent="0.25">
      <c r="B14" s="1" t="s">
        <v>5</v>
      </c>
      <c r="C14" s="1">
        <f>14100+3000</f>
        <v>17100</v>
      </c>
      <c r="D14" s="1">
        <f>14100+8500+40000+3500+50000+16000+5000+6800+11300</f>
        <v>155200</v>
      </c>
    </row>
    <row r="15" spans="1:7" x14ac:dyDescent="0.25">
      <c r="C15" s="1"/>
    </row>
    <row r="16" spans="1:7" x14ac:dyDescent="0.25">
      <c r="A16" s="1" t="s">
        <v>9</v>
      </c>
      <c r="B16" s="1" t="s">
        <v>3</v>
      </c>
      <c r="C16" s="1">
        <v>2965</v>
      </c>
      <c r="D16" s="1">
        <v>49000</v>
      </c>
    </row>
    <row r="17" spans="1:10" x14ac:dyDescent="0.25">
      <c r="B17" s="1" t="s">
        <v>5</v>
      </c>
      <c r="C17" s="1"/>
      <c r="D17" s="1">
        <f>1500</f>
        <v>1500</v>
      </c>
    </row>
    <row r="18" spans="1:10" x14ac:dyDescent="0.25">
      <c r="B18" s="1" t="s">
        <v>10</v>
      </c>
      <c r="C18" s="1"/>
      <c r="D18" s="1">
        <v>7500</v>
      </c>
    </row>
    <row r="19" spans="1:10" x14ac:dyDescent="0.25">
      <c r="C19" s="1"/>
    </row>
    <row r="20" spans="1:10" ht="30" customHeight="1" x14ac:dyDescent="0.25">
      <c r="A20" s="4" t="s">
        <v>16</v>
      </c>
      <c r="B20" s="1" t="s">
        <v>5</v>
      </c>
      <c r="C20" s="1">
        <f>697</f>
        <v>697</v>
      </c>
      <c r="D20" s="1">
        <f>1500+3000+4000+500+3000+2000+8000+4000+5000</f>
        <v>31000</v>
      </c>
      <c r="H20" s="4"/>
      <c r="I20" s="4"/>
      <c r="J20" s="4"/>
    </row>
    <row r="21" spans="1:10" x14ac:dyDescent="0.25">
      <c r="C21" s="1"/>
    </row>
    <row r="22" spans="1:10" x14ac:dyDescent="0.25">
      <c r="A22" s="1" t="s">
        <v>11</v>
      </c>
      <c r="B22" s="1" t="s">
        <v>3</v>
      </c>
      <c r="C22" s="1">
        <v>70</v>
      </c>
      <c r="D22" s="1">
        <v>6000</v>
      </c>
    </row>
    <row r="23" spans="1:10" x14ac:dyDescent="0.25">
      <c r="B23" s="1" t="s">
        <v>5</v>
      </c>
      <c r="C23" s="1"/>
      <c r="D23" s="1">
        <v>6500</v>
      </c>
    </row>
    <row r="24" spans="1:10" x14ac:dyDescent="0.25">
      <c r="C24" s="1"/>
    </row>
    <row r="25" spans="1:10" x14ac:dyDescent="0.25">
      <c r="A25" s="1" t="s">
        <v>12</v>
      </c>
      <c r="B25" s="1" t="s">
        <v>3</v>
      </c>
      <c r="C25" s="1"/>
      <c r="D25" s="1">
        <v>10400</v>
      </c>
    </row>
    <row r="26" spans="1:10" x14ac:dyDescent="0.25">
      <c r="C26" s="1"/>
    </row>
    <row r="27" spans="1:10" x14ac:dyDescent="0.25">
      <c r="A27" s="1" t="s">
        <v>13</v>
      </c>
      <c r="B27" s="1" t="s">
        <v>3</v>
      </c>
      <c r="C27" s="1"/>
    </row>
    <row r="28" spans="1:10" x14ac:dyDescent="0.25">
      <c r="B28" s="1" t="s">
        <v>5</v>
      </c>
      <c r="C28" s="1">
        <v>900</v>
      </c>
      <c r="D28" s="1">
        <f>1000+1000+2000+200+1600+700+1500+4000</f>
        <v>12000</v>
      </c>
    </row>
    <row r="29" spans="1:10" x14ac:dyDescent="0.25">
      <c r="C29" s="1"/>
    </row>
    <row r="30" spans="1:10" x14ac:dyDescent="0.25">
      <c r="A30" s="1" t="s">
        <v>14</v>
      </c>
      <c r="B30" s="1" t="s">
        <v>3</v>
      </c>
      <c r="C30" s="1">
        <f>C27+C25+C22+C16+C13+C9+C5</f>
        <v>27030</v>
      </c>
      <c r="D30" s="1">
        <f>D5+D9+D13+D16+D22+D25+D27</f>
        <v>288700</v>
      </c>
      <c r="E30" s="1">
        <f>E5+E9+E13+E16+E22+E25+E27</f>
        <v>0</v>
      </c>
      <c r="J30" s="52"/>
    </row>
    <row r="31" spans="1:10" x14ac:dyDescent="0.25">
      <c r="B31" s="1" t="s">
        <v>5</v>
      </c>
      <c r="C31" s="1">
        <f>C28+C23+C20+C17+C18+C14+C10+C11+C6+C7</f>
        <v>20197</v>
      </c>
      <c r="D31" s="1">
        <f>D6+D7+D10+D11+D14+D17+D18+D20+D23+D28</f>
        <v>358800</v>
      </c>
      <c r="E31" s="1">
        <f>E6+E7+E10+E11+E14+E17+E18+E20+E23+E28</f>
        <v>0</v>
      </c>
    </row>
    <row r="32" spans="1:10" x14ac:dyDescent="0.25">
      <c r="C32" s="6">
        <f>C30-C31</f>
        <v>6833</v>
      </c>
      <c r="D32" s="6">
        <f>D30-D31</f>
        <v>-70100</v>
      </c>
      <c r="E32" s="6">
        <f>E30-E31</f>
        <v>0</v>
      </c>
      <c r="F32" s="7"/>
      <c r="G32" s="7"/>
    </row>
    <row r="33" spans="1:7" x14ac:dyDescent="0.25">
      <c r="C33" s="1"/>
      <c r="G33" s="3"/>
    </row>
    <row r="34" spans="1:7" x14ac:dyDescent="0.25">
      <c r="C34" s="1"/>
    </row>
    <row r="35" spans="1:7" x14ac:dyDescent="0.25">
      <c r="A35" s="1" t="s">
        <v>114</v>
      </c>
      <c r="C35" s="1"/>
    </row>
    <row r="36" spans="1:7" x14ac:dyDescent="0.25">
      <c r="C36" s="1"/>
      <c r="F36" s="5"/>
    </row>
    <row r="37" spans="1:7" x14ac:dyDescent="0.25">
      <c r="A37" s="1" t="s">
        <v>15</v>
      </c>
      <c r="B37" s="54">
        <v>603608</v>
      </c>
      <c r="C37" s="1"/>
    </row>
    <row r="39" spans="1:7" x14ac:dyDescent="0.25">
      <c r="A39" s="1" t="s">
        <v>115</v>
      </c>
      <c r="C39" s="1"/>
    </row>
    <row r="40" spans="1:7" x14ac:dyDescent="0.25">
      <c r="C40" s="1"/>
    </row>
  </sheetData>
  <pageMargins left="0.7" right="0.7" top="0.75" bottom="0.75" header="0.3" footer="0.3"/>
  <pageSetup paperSize="9"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49"/>
  <sheetViews>
    <sheetView topLeftCell="A21" zoomScaleNormal="100" workbookViewId="0">
      <selection activeCell="F39" sqref="F39:I49"/>
    </sheetView>
  </sheetViews>
  <sheetFormatPr defaultRowHeight="15" x14ac:dyDescent="0.25"/>
  <cols>
    <col min="1" max="1" width="32.140625" style="1" customWidth="1"/>
    <col min="2" max="2" width="15.42578125" style="1" customWidth="1"/>
    <col min="3" max="3" width="15.140625" customWidth="1"/>
    <col min="4" max="4" width="13.85546875" style="1" customWidth="1"/>
    <col min="5" max="5" width="13.28515625" style="1" customWidth="1"/>
    <col min="6" max="6" width="11.85546875" style="1" customWidth="1"/>
    <col min="7" max="16384" width="9.140625" style="1"/>
  </cols>
  <sheetData>
    <row r="1" spans="1:9" x14ac:dyDescent="0.25">
      <c r="A1" s="1" t="s">
        <v>0</v>
      </c>
    </row>
    <row r="3" spans="1:9" x14ac:dyDescent="0.25">
      <c r="A3" s="1" t="s">
        <v>150</v>
      </c>
      <c r="C3" t="s">
        <v>152</v>
      </c>
      <c r="D3" s="2" t="s">
        <v>1</v>
      </c>
      <c r="E3" s="2" t="s">
        <v>151</v>
      </c>
      <c r="G3" s="1" t="s">
        <v>222</v>
      </c>
    </row>
    <row r="5" spans="1:9" x14ac:dyDescent="0.25">
      <c r="A5" s="1" t="s">
        <v>2</v>
      </c>
      <c r="B5" s="1" t="s">
        <v>3</v>
      </c>
      <c r="C5" s="62">
        <f>SUM(137124+3650+44100+770)</f>
        <v>185644</v>
      </c>
      <c r="D5" s="1">
        <f>93600+4000+96000</f>
        <v>193600</v>
      </c>
      <c r="E5" s="1">
        <f>79427+3400+86375</f>
        <v>169202</v>
      </c>
      <c r="F5" s="9"/>
      <c r="G5" s="1">
        <f>C5-D5</f>
        <v>-7956</v>
      </c>
      <c r="I5" s="1" t="s">
        <v>223</v>
      </c>
    </row>
    <row r="6" spans="1:9" x14ac:dyDescent="0.25">
      <c r="B6" s="1" t="s">
        <v>12</v>
      </c>
      <c r="C6" s="62">
        <v>10000</v>
      </c>
      <c r="F6" s="9"/>
      <c r="G6" s="1">
        <f t="shared" ref="G6:G33" si="0">C6-D6</f>
        <v>10000</v>
      </c>
    </row>
    <row r="7" spans="1:9" x14ac:dyDescent="0.25">
      <c r="B7" s="1" t="s">
        <v>4</v>
      </c>
      <c r="C7" s="62">
        <v>21560</v>
      </c>
      <c r="D7" s="1">
        <v>70400</v>
      </c>
      <c r="E7" s="1">
        <v>54000</v>
      </c>
      <c r="F7" s="9"/>
      <c r="G7" s="1">
        <f t="shared" si="0"/>
        <v>-48840</v>
      </c>
      <c r="I7" s="1" t="s">
        <v>224</v>
      </c>
    </row>
    <row r="8" spans="1:9" x14ac:dyDescent="0.25">
      <c r="B8" s="1" t="s">
        <v>5</v>
      </c>
      <c r="C8" s="62">
        <f>SUM(2921+13000)</f>
        <v>15921</v>
      </c>
      <c r="D8" s="1">
        <f>12500+15000+8000+4000+3000</f>
        <v>42500</v>
      </c>
      <c r="E8" s="1">
        <f>3323+14980</f>
        <v>18303</v>
      </c>
      <c r="F8" s="9"/>
      <c r="G8" s="1">
        <f t="shared" si="0"/>
        <v>-26579</v>
      </c>
      <c r="I8" s="1" t="s">
        <v>228</v>
      </c>
    </row>
    <row r="9" spans="1:9" x14ac:dyDescent="0.25">
      <c r="C9" s="62"/>
      <c r="F9" s="9"/>
    </row>
    <row r="10" spans="1:9" x14ac:dyDescent="0.25">
      <c r="A10" s="1" t="s">
        <v>6</v>
      </c>
      <c r="B10" s="1" t="s">
        <v>3</v>
      </c>
      <c r="C10" s="62">
        <f>SUM(5700+4950+8050+10100+3600+1400)</f>
        <v>33800</v>
      </c>
      <c r="D10" s="1">
        <f>1700+4000+6300+10000+4200+1500+2000</f>
        <v>29700</v>
      </c>
      <c r="E10" s="1">
        <f>7350+5000+1190+1300</f>
        <v>14840</v>
      </c>
      <c r="F10" s="9"/>
      <c r="G10" s="1">
        <f t="shared" si="0"/>
        <v>4100</v>
      </c>
      <c r="I10" s="1" t="s">
        <v>225</v>
      </c>
    </row>
    <row r="11" spans="1:9" x14ac:dyDescent="0.25">
      <c r="B11" s="1" t="s">
        <v>5</v>
      </c>
      <c r="C11" s="62">
        <f>SUM(1500+248+3302+1600+4679)</f>
        <v>11329</v>
      </c>
      <c r="D11" s="1">
        <f>9000+500+1700+3000+6000+4000+5000+500</f>
        <v>29700</v>
      </c>
      <c r="E11" s="1">
        <f>512+6776+55</f>
        <v>7343</v>
      </c>
      <c r="F11" s="9"/>
      <c r="G11" s="1">
        <f t="shared" si="0"/>
        <v>-18371</v>
      </c>
      <c r="I11" s="1" t="s">
        <v>226</v>
      </c>
    </row>
    <row r="12" spans="1:9" x14ac:dyDescent="0.25">
      <c r="B12" s="1" t="s">
        <v>7</v>
      </c>
      <c r="C12" s="1">
        <v>4649</v>
      </c>
      <c r="D12" s="1">
        <v>2500</v>
      </c>
      <c r="E12" s="1">
        <v>699</v>
      </c>
      <c r="F12" s="9"/>
      <c r="G12" s="1">
        <f t="shared" si="0"/>
        <v>2149</v>
      </c>
      <c r="I12" s="1" t="s">
        <v>227</v>
      </c>
    </row>
    <row r="13" spans="1:9" x14ac:dyDescent="0.25">
      <c r="C13" s="62"/>
      <c r="F13" s="9"/>
    </row>
    <row r="14" spans="1:9" x14ac:dyDescent="0.25">
      <c r="A14" s="1" t="s">
        <v>8</v>
      </c>
      <c r="B14" s="1" t="s">
        <v>3</v>
      </c>
      <c r="C14" s="62">
        <v>1200</v>
      </c>
      <c r="F14" s="9"/>
      <c r="G14" s="1">
        <f t="shared" si="0"/>
        <v>1200</v>
      </c>
    </row>
    <row r="15" spans="1:9" x14ac:dyDescent="0.25">
      <c r="B15" s="1" t="s">
        <v>5</v>
      </c>
      <c r="C15" s="62">
        <f>SUM(14100+3553+21180+1706+3333+15537+3195+7005)</f>
        <v>69609</v>
      </c>
      <c r="D15" s="1">
        <f>14100+8500+40000+3500+50000+16000+5000+6800+11300</f>
        <v>155200</v>
      </c>
      <c r="E15" s="1">
        <f>13800+3538+17252+19960+3148+13841+140+6576</f>
        <v>78255</v>
      </c>
      <c r="F15" s="9"/>
      <c r="G15" s="1">
        <f t="shared" si="0"/>
        <v>-85591</v>
      </c>
      <c r="I15" s="1" t="s">
        <v>229</v>
      </c>
    </row>
    <row r="16" spans="1:9" x14ac:dyDescent="0.25">
      <c r="C16" s="62"/>
      <c r="F16" s="9"/>
    </row>
    <row r="17" spans="1:9" x14ac:dyDescent="0.25">
      <c r="A17" s="1" t="s">
        <v>9</v>
      </c>
      <c r="B17" s="1" t="s">
        <v>3</v>
      </c>
      <c r="C17" s="62">
        <v>33995</v>
      </c>
      <c r="D17" s="1">
        <v>49000</v>
      </c>
      <c r="E17" s="1">
        <v>41115</v>
      </c>
      <c r="F17" s="9"/>
      <c r="G17" s="1">
        <f t="shared" si="0"/>
        <v>-15005</v>
      </c>
      <c r="I17" s="1" t="s">
        <v>230</v>
      </c>
    </row>
    <row r="18" spans="1:9" x14ac:dyDescent="0.25">
      <c r="B18" s="1" t="s">
        <v>5</v>
      </c>
      <c r="C18" s="62">
        <v>1265</v>
      </c>
      <c r="D18" s="1">
        <f>1500</f>
        <v>1500</v>
      </c>
      <c r="E18" s="1">
        <v>870</v>
      </c>
      <c r="F18" s="9"/>
      <c r="G18" s="1">
        <f t="shared" si="0"/>
        <v>-235</v>
      </c>
    </row>
    <row r="19" spans="1:9" x14ac:dyDescent="0.25">
      <c r="B19" s="1" t="s">
        <v>10</v>
      </c>
      <c r="C19" s="62">
        <v>4329</v>
      </c>
      <c r="D19" s="1">
        <v>7500</v>
      </c>
      <c r="E19" s="1">
        <v>4006</v>
      </c>
      <c r="F19" s="9"/>
      <c r="G19" s="1">
        <f t="shared" si="0"/>
        <v>-3171</v>
      </c>
    </row>
    <row r="20" spans="1:9" x14ac:dyDescent="0.25">
      <c r="C20" s="62"/>
      <c r="F20" s="9"/>
    </row>
    <row r="21" spans="1:9" ht="30" x14ac:dyDescent="0.25">
      <c r="A21" s="4" t="s">
        <v>16</v>
      </c>
      <c r="B21" s="1" t="s">
        <v>5</v>
      </c>
      <c r="C21" s="62">
        <f>SUM(7829+6404+284+587+1828+4714+2043+405)</f>
        <v>24094</v>
      </c>
      <c r="D21" s="1">
        <f>1500+3000+4000+500+3000+2000+8000+4000+5000</f>
        <v>31000</v>
      </c>
      <c r="E21" s="1">
        <f>56+200+1063+1913+1306+96+387+559</f>
        <v>5580</v>
      </c>
      <c r="F21" s="9"/>
      <c r="G21" s="1">
        <f t="shared" si="0"/>
        <v>-6906</v>
      </c>
      <c r="I21" s="1" t="s">
        <v>231</v>
      </c>
    </row>
    <row r="22" spans="1:9" x14ac:dyDescent="0.25">
      <c r="C22" s="62"/>
      <c r="F22" s="9"/>
    </row>
    <row r="23" spans="1:9" x14ac:dyDescent="0.25">
      <c r="A23" s="1" t="s">
        <v>11</v>
      </c>
      <c r="B23" s="1" t="s">
        <v>3</v>
      </c>
      <c r="C23" s="62">
        <f>30+6899+1960</f>
        <v>8889</v>
      </c>
      <c r="D23" s="1">
        <v>6000</v>
      </c>
      <c r="E23" s="1">
        <v>2665</v>
      </c>
      <c r="F23" s="9"/>
      <c r="G23" s="1">
        <f t="shared" si="0"/>
        <v>2889</v>
      </c>
      <c r="I23" s="1" t="s">
        <v>232</v>
      </c>
    </row>
    <row r="24" spans="1:9" x14ac:dyDescent="0.25">
      <c r="B24" s="1" t="s">
        <v>5</v>
      </c>
      <c r="C24" s="62">
        <f>SUM(860+598+11627)</f>
        <v>13085</v>
      </c>
      <c r="D24" s="1">
        <v>6500</v>
      </c>
      <c r="E24" s="1">
        <f>415+1912</f>
        <v>2327</v>
      </c>
      <c r="F24" s="9"/>
      <c r="G24" s="1">
        <f t="shared" si="0"/>
        <v>6585</v>
      </c>
    </row>
    <row r="25" spans="1:9" x14ac:dyDescent="0.25">
      <c r="C25" s="62"/>
      <c r="F25" s="9"/>
    </row>
    <row r="26" spans="1:9" x14ac:dyDescent="0.25">
      <c r="A26" s="1" t="s">
        <v>12</v>
      </c>
      <c r="B26" s="1" t="s">
        <v>3</v>
      </c>
      <c r="C26" s="62"/>
      <c r="D26" s="1">
        <v>10400</v>
      </c>
      <c r="F26" s="9"/>
      <c r="G26" s="1">
        <f t="shared" si="0"/>
        <v>-10400</v>
      </c>
      <c r="I26" s="1" t="s">
        <v>233</v>
      </c>
    </row>
    <row r="27" spans="1:9" x14ac:dyDescent="0.25">
      <c r="C27" s="62"/>
      <c r="F27" s="9"/>
    </row>
    <row r="28" spans="1:9" x14ac:dyDescent="0.25">
      <c r="A28" s="1" t="s">
        <v>13</v>
      </c>
      <c r="B28" s="1" t="s">
        <v>3</v>
      </c>
      <c r="C28" s="62"/>
      <c r="F28" s="9"/>
      <c r="G28" s="1">
        <f t="shared" si="0"/>
        <v>0</v>
      </c>
    </row>
    <row r="29" spans="1:9" x14ac:dyDescent="0.25">
      <c r="B29" s="1" t="s">
        <v>5</v>
      </c>
      <c r="C29" s="62">
        <f>SUM(1264+398+263+2928+1788+3778)</f>
        <v>10419</v>
      </c>
      <c r="D29" s="1">
        <f>1000+1000+2000+200+1600+700+1500+4000</f>
        <v>12000</v>
      </c>
      <c r="E29" s="1">
        <f>5486+189+1884+46+1235+1554</f>
        <v>10394</v>
      </c>
      <c r="F29" s="9"/>
      <c r="G29" s="1">
        <f t="shared" si="0"/>
        <v>-1581</v>
      </c>
    </row>
    <row r="30" spans="1:9" x14ac:dyDescent="0.25">
      <c r="C30" s="62"/>
      <c r="E30" s="60"/>
    </row>
    <row r="31" spans="1:9" x14ac:dyDescent="0.25">
      <c r="A31" s="1" t="s">
        <v>14</v>
      </c>
      <c r="B31" s="1" t="s">
        <v>3</v>
      </c>
      <c r="C31" s="62">
        <f>C5+C6+C10+C14+C17+C23+C26+C28</f>
        <v>273528</v>
      </c>
      <c r="D31" s="1">
        <f>D5+D10+D14+D17+D23+D26+D28</f>
        <v>288700</v>
      </c>
      <c r="E31" s="1">
        <f>E5+E10+E14+E17+E23+E26+E28</f>
        <v>227822</v>
      </c>
      <c r="G31" s="1">
        <f t="shared" si="0"/>
        <v>-15172</v>
      </c>
    </row>
    <row r="32" spans="1:9" x14ac:dyDescent="0.25">
      <c r="B32" s="1" t="s">
        <v>5</v>
      </c>
      <c r="C32" s="62">
        <f>C7+C8+C11+C12+C15+C18+C19+C21+C24+C29</f>
        <v>176260</v>
      </c>
      <c r="D32" s="1">
        <f>D7+D8+D11+D12+D15+D18+D19+D21+D24+D29</f>
        <v>358800</v>
      </c>
      <c r="E32" s="1">
        <f>E7+E8+E11+E12+E15+E18+E19+E21+E24+E29</f>
        <v>181777</v>
      </c>
      <c r="G32" s="1">
        <f t="shared" si="0"/>
        <v>-182540</v>
      </c>
    </row>
    <row r="33" spans="1:9" x14ac:dyDescent="0.25">
      <c r="C33" s="63">
        <f>C31-C32</f>
        <v>97268</v>
      </c>
      <c r="D33" s="1">
        <f>D31-D32</f>
        <v>-70100</v>
      </c>
      <c r="E33" s="6">
        <f>E31-E32</f>
        <v>46045</v>
      </c>
      <c r="F33" s="7"/>
      <c r="G33" s="1">
        <f t="shared" si="0"/>
        <v>167368</v>
      </c>
    </row>
    <row r="34" spans="1:9" x14ac:dyDescent="0.25">
      <c r="A34" s="1" t="s">
        <v>153</v>
      </c>
      <c r="C34" s="1"/>
    </row>
    <row r="35" spans="1:9" x14ac:dyDescent="0.25">
      <c r="F35" s="5"/>
    </row>
    <row r="36" spans="1:9" x14ac:dyDescent="0.25">
      <c r="A36" s="1" t="s">
        <v>15</v>
      </c>
      <c r="B36" s="56">
        <v>676793</v>
      </c>
      <c r="E36" s="9"/>
    </row>
    <row r="38" spans="1:9" x14ac:dyDescent="0.25">
      <c r="A38" s="9" t="s">
        <v>217</v>
      </c>
      <c r="B38" s="11"/>
      <c r="E38" s="11"/>
    </row>
    <row r="39" spans="1:9" x14ac:dyDescent="0.25">
      <c r="A39" s="12"/>
      <c r="F39" s="1" t="s">
        <v>218</v>
      </c>
    </row>
    <row r="40" spans="1:9" ht="15" customHeight="1" x14ac:dyDescent="0.25">
      <c r="G40" s="1">
        <v>16</v>
      </c>
      <c r="H40" s="1" t="s">
        <v>2</v>
      </c>
      <c r="I40" s="1" t="s">
        <v>219</v>
      </c>
    </row>
    <row r="41" spans="1:9" x14ac:dyDescent="0.25">
      <c r="G41" s="1">
        <v>32</v>
      </c>
      <c r="H41" s="1" t="s">
        <v>2</v>
      </c>
      <c r="I41" s="1" t="s">
        <v>192</v>
      </c>
    </row>
    <row r="42" spans="1:9" ht="15" customHeight="1" x14ac:dyDescent="0.25">
      <c r="G42" s="1">
        <v>14</v>
      </c>
      <c r="H42" s="1" t="s">
        <v>2</v>
      </c>
      <c r="I42" s="1" t="s">
        <v>193</v>
      </c>
    </row>
    <row r="43" spans="1:9" x14ac:dyDescent="0.25">
      <c r="F43" s="8"/>
      <c r="G43" s="1">
        <v>11</v>
      </c>
      <c r="H43" s="1" t="s">
        <v>6</v>
      </c>
      <c r="I43" s="1" t="s">
        <v>202</v>
      </c>
    </row>
    <row r="44" spans="1:9" x14ac:dyDescent="0.25">
      <c r="G44" s="1">
        <v>8</v>
      </c>
      <c r="H44" s="1" t="s">
        <v>203</v>
      </c>
      <c r="I44" s="1" t="s">
        <v>206</v>
      </c>
    </row>
    <row r="45" spans="1:9" x14ac:dyDescent="0.25">
      <c r="I45" s="1" t="s">
        <v>220</v>
      </c>
    </row>
    <row r="46" spans="1:9" x14ac:dyDescent="0.25">
      <c r="G46" s="1">
        <v>-7</v>
      </c>
      <c r="H46" s="1" t="s">
        <v>211</v>
      </c>
      <c r="I46" s="1" t="s">
        <v>212</v>
      </c>
    </row>
    <row r="47" spans="1:9" x14ac:dyDescent="0.25">
      <c r="G47" s="1">
        <v>-19</v>
      </c>
      <c r="H47" s="1" t="s">
        <v>204</v>
      </c>
      <c r="I47" s="1" t="s">
        <v>221</v>
      </c>
    </row>
    <row r="48" spans="1:9" x14ac:dyDescent="0.25">
      <c r="G48" s="4">
        <v>-4</v>
      </c>
      <c r="H48" s="4" t="s">
        <v>11</v>
      </c>
      <c r="I48" s="64" t="s">
        <v>210</v>
      </c>
    </row>
    <row r="49" spans="6:7" x14ac:dyDescent="0.25">
      <c r="F49" s="13"/>
      <c r="G49" s="1">
        <f>SUM(G40:G48)</f>
        <v>51</v>
      </c>
    </row>
  </sheetData>
  <pageMargins left="0.7" right="0.7" top="0.75" bottom="0.75" header="0.3" footer="0.3"/>
  <pageSetup paperSize="9" scale="67" orientation="landscape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48"/>
  <sheetViews>
    <sheetView topLeftCell="A16" workbookViewId="0">
      <selection activeCell="C5" sqref="C5:C33"/>
    </sheetView>
  </sheetViews>
  <sheetFormatPr defaultRowHeight="15" x14ac:dyDescent="0.25"/>
  <cols>
    <col min="1" max="1" width="25.85546875" style="1" customWidth="1"/>
    <col min="2" max="2" width="15.42578125" style="1" customWidth="1"/>
    <col min="3" max="3" width="15.42578125" customWidth="1"/>
    <col min="4" max="4" width="13.85546875" style="1" customWidth="1"/>
    <col min="5" max="5" width="14.42578125" style="1" customWidth="1"/>
    <col min="6" max="6" width="11.85546875" style="1" customWidth="1"/>
    <col min="7" max="7" width="9.140625" style="1"/>
    <col min="8" max="8" width="13" style="1" customWidth="1"/>
    <col min="9" max="16384" width="9.140625" style="1"/>
  </cols>
  <sheetData>
    <row r="1" spans="1:8" x14ac:dyDescent="0.25">
      <c r="A1" s="1" t="s">
        <v>0</v>
      </c>
    </row>
    <row r="3" spans="1:8" x14ac:dyDescent="0.25">
      <c r="A3" s="1" t="s">
        <v>155</v>
      </c>
      <c r="C3" s="2" t="s">
        <v>157</v>
      </c>
      <c r="D3" s="2" t="s">
        <v>1</v>
      </c>
      <c r="E3" s="2" t="s">
        <v>156</v>
      </c>
      <c r="G3" s="1" t="s">
        <v>222</v>
      </c>
    </row>
    <row r="5" spans="1:8" x14ac:dyDescent="0.25">
      <c r="A5" s="1" t="s">
        <v>2</v>
      </c>
      <c r="B5" s="1" t="s">
        <v>3</v>
      </c>
      <c r="C5" s="62">
        <f>SUM(142064+3950+44100+1540)</f>
        <v>191654</v>
      </c>
      <c r="D5" s="1">
        <f>93600+4000+96000</f>
        <v>193600</v>
      </c>
      <c r="E5" s="1">
        <f>80257+3700+85800</f>
        <v>169757</v>
      </c>
      <c r="F5" s="9"/>
      <c r="G5" s="1">
        <f>C5-D5</f>
        <v>-1946</v>
      </c>
    </row>
    <row r="6" spans="1:8" x14ac:dyDescent="0.25">
      <c r="B6" s="1" t="s">
        <v>12</v>
      </c>
      <c r="C6" s="62">
        <v>10000</v>
      </c>
      <c r="F6" s="9"/>
      <c r="G6" s="1">
        <f t="shared" ref="G6:G33" si="0">C6-D6</f>
        <v>10000</v>
      </c>
    </row>
    <row r="7" spans="1:8" x14ac:dyDescent="0.25">
      <c r="B7" s="1" t="s">
        <v>4</v>
      </c>
      <c r="C7" s="62">
        <v>33660</v>
      </c>
      <c r="D7" s="1">
        <v>70400</v>
      </c>
      <c r="E7" s="1">
        <v>54000</v>
      </c>
      <c r="F7" s="9"/>
      <c r="G7" s="1">
        <f t="shared" si="0"/>
        <v>-36740</v>
      </c>
      <c r="H7" s="1" t="s">
        <v>224</v>
      </c>
    </row>
    <row r="8" spans="1:8" x14ac:dyDescent="0.25">
      <c r="B8" s="1" t="s">
        <v>5</v>
      </c>
      <c r="C8" s="62">
        <f>SUM(3430+13000)</f>
        <v>16430</v>
      </c>
      <c r="D8" s="1">
        <f>12500+15000+8000+4000+3000</f>
        <v>42500</v>
      </c>
      <c r="E8" s="1">
        <f>3672+14980+542</f>
        <v>19194</v>
      </c>
      <c r="F8" s="9"/>
      <c r="G8" s="1">
        <f t="shared" si="0"/>
        <v>-26070</v>
      </c>
      <c r="H8" s="1" t="s">
        <v>228</v>
      </c>
    </row>
    <row r="9" spans="1:8" x14ac:dyDescent="0.25">
      <c r="C9" s="62"/>
      <c r="F9" s="9"/>
    </row>
    <row r="10" spans="1:8" x14ac:dyDescent="0.25">
      <c r="A10" s="1" t="s">
        <v>6</v>
      </c>
      <c r="B10" s="1" t="s">
        <v>3</v>
      </c>
      <c r="C10" s="62">
        <f>SUM(5700+4950+7700+8750+3600+1400)</f>
        <v>32100</v>
      </c>
      <c r="D10" s="1">
        <f>1700+4000+6300+10000+4200+1500+2000</f>
        <v>29700</v>
      </c>
      <c r="E10" s="1">
        <f>7350+8600+1190+1300</f>
        <v>18440</v>
      </c>
      <c r="F10" s="9"/>
      <c r="G10" s="1">
        <f t="shared" si="0"/>
        <v>2400</v>
      </c>
      <c r="H10" s="1" t="s">
        <v>225</v>
      </c>
    </row>
    <row r="11" spans="1:8" x14ac:dyDescent="0.25">
      <c r="B11" s="1" t="s">
        <v>5</v>
      </c>
      <c r="C11" s="62">
        <f>SUM(1500+248+3302+2167+5183+4150)</f>
        <v>16550</v>
      </c>
      <c r="D11" s="1">
        <f>9000+500+1700+3000+6000+4000+5000+500</f>
        <v>29700</v>
      </c>
      <c r="E11" s="1">
        <f>512+7586+2917+55</f>
        <v>11070</v>
      </c>
      <c r="F11" s="9"/>
      <c r="G11" s="1">
        <f t="shared" si="0"/>
        <v>-13150</v>
      </c>
      <c r="H11" s="1" t="s">
        <v>238</v>
      </c>
    </row>
    <row r="12" spans="1:8" x14ac:dyDescent="0.25">
      <c r="B12" s="1" t="s">
        <v>7</v>
      </c>
      <c r="C12" s="1">
        <v>5677</v>
      </c>
      <c r="D12" s="1">
        <v>2500</v>
      </c>
      <c r="E12" s="1">
        <v>939</v>
      </c>
      <c r="F12" s="9"/>
      <c r="G12" s="1">
        <f t="shared" si="0"/>
        <v>3177</v>
      </c>
      <c r="H12" s="1" t="s">
        <v>227</v>
      </c>
    </row>
    <row r="13" spans="1:8" x14ac:dyDescent="0.25">
      <c r="C13" s="62"/>
      <c r="F13" s="9"/>
    </row>
    <row r="14" spans="1:8" x14ac:dyDescent="0.25">
      <c r="A14" s="1" t="s">
        <v>8</v>
      </c>
      <c r="B14" s="1" t="s">
        <v>3</v>
      </c>
      <c r="C14" s="62">
        <v>1200</v>
      </c>
      <c r="F14" s="9"/>
      <c r="G14" s="1">
        <f t="shared" si="0"/>
        <v>1200</v>
      </c>
    </row>
    <row r="15" spans="1:8" x14ac:dyDescent="0.25">
      <c r="B15" s="1" t="s">
        <v>5</v>
      </c>
      <c r="C15" s="62">
        <f>SUM(14100+3553+24128+1706+4444+15936+3195+7005)</f>
        <v>74067</v>
      </c>
      <c r="D15" s="1">
        <f>14100+8500+40000+3500+50000+16000+5000+6800+11300</f>
        <v>155200</v>
      </c>
      <c r="E15" s="1">
        <f>13800+3538+19224+19960+3148+14040+140+6576</f>
        <v>80426</v>
      </c>
      <c r="F15" s="9"/>
      <c r="G15" s="1">
        <f t="shared" si="0"/>
        <v>-81133</v>
      </c>
      <c r="H15" s="1" t="s">
        <v>235</v>
      </c>
    </row>
    <row r="16" spans="1:8" x14ac:dyDescent="0.25">
      <c r="C16" s="62"/>
      <c r="F16" s="9"/>
    </row>
    <row r="17" spans="1:8" x14ac:dyDescent="0.25">
      <c r="A17" s="1" t="s">
        <v>9</v>
      </c>
      <c r="B17" s="1" t="s">
        <v>3</v>
      </c>
      <c r="C17" s="62">
        <v>37565</v>
      </c>
      <c r="D17" s="1">
        <v>49000</v>
      </c>
      <c r="E17" s="1">
        <v>42440</v>
      </c>
      <c r="F17" s="9"/>
      <c r="G17" s="1">
        <f t="shared" si="0"/>
        <v>-11435</v>
      </c>
      <c r="H17" s="1" t="s">
        <v>237</v>
      </c>
    </row>
    <row r="18" spans="1:8" x14ac:dyDescent="0.25">
      <c r="B18" s="1" t="s">
        <v>5</v>
      </c>
      <c r="C18" s="62">
        <f>1265+1588</f>
        <v>2853</v>
      </c>
      <c r="D18" s="1">
        <f>1500</f>
        <v>1500</v>
      </c>
      <c r="E18" s="1">
        <v>870</v>
      </c>
      <c r="F18" s="9"/>
      <c r="G18" s="1">
        <f t="shared" si="0"/>
        <v>1353</v>
      </c>
    </row>
    <row r="19" spans="1:8" x14ac:dyDescent="0.25">
      <c r="B19" s="1" t="s">
        <v>10</v>
      </c>
      <c r="C19" s="62">
        <f>4329</f>
        <v>4329</v>
      </c>
      <c r="D19" s="1">
        <v>7500</v>
      </c>
      <c r="E19" s="1">
        <v>4006</v>
      </c>
      <c r="F19" s="9"/>
      <c r="G19" s="1">
        <f t="shared" si="0"/>
        <v>-3171</v>
      </c>
    </row>
    <row r="20" spans="1:8" x14ac:dyDescent="0.25">
      <c r="C20" s="62"/>
      <c r="F20" s="9"/>
    </row>
    <row r="21" spans="1:8" ht="30" x14ac:dyDescent="0.25">
      <c r="A21" s="4" t="s">
        <v>16</v>
      </c>
      <c r="B21" s="1" t="s">
        <v>5</v>
      </c>
      <c r="C21" s="62">
        <f>SUM(7829+7329+284+2803+1923+5257+2310+405)</f>
        <v>28140</v>
      </c>
      <c r="D21" s="1">
        <f>1500+3000+4000+500+3000+2000+8000+4000+5000</f>
        <v>31000</v>
      </c>
      <c r="E21" s="1">
        <f>219+200+1063+1913+1306+96+620+559</f>
        <v>5976</v>
      </c>
      <c r="F21" s="9"/>
      <c r="G21" s="1">
        <f t="shared" si="0"/>
        <v>-2860</v>
      </c>
      <c r="H21" s="1" t="s">
        <v>236</v>
      </c>
    </row>
    <row r="22" spans="1:8" x14ac:dyDescent="0.25">
      <c r="C22" s="62"/>
      <c r="F22" s="9"/>
    </row>
    <row r="23" spans="1:8" x14ac:dyDescent="0.25">
      <c r="A23" s="1" t="s">
        <v>11</v>
      </c>
      <c r="B23" s="1" t="s">
        <v>3</v>
      </c>
      <c r="C23" s="62">
        <f>66+7574+2640</f>
        <v>10280</v>
      </c>
      <c r="D23" s="1">
        <v>6000</v>
      </c>
      <c r="E23" s="1">
        <v>3500</v>
      </c>
      <c r="F23" s="9"/>
      <c r="G23" s="1">
        <f t="shared" si="0"/>
        <v>4280</v>
      </c>
      <c r="H23" s="1" t="s">
        <v>232</v>
      </c>
    </row>
    <row r="24" spans="1:8" x14ac:dyDescent="0.25">
      <c r="B24" s="1" t="s">
        <v>5</v>
      </c>
      <c r="C24" s="62">
        <f>SUM(860+726+14014)</f>
        <v>15600</v>
      </c>
      <c r="D24" s="1">
        <v>6500</v>
      </c>
      <c r="E24" s="1">
        <f>415+3930</f>
        <v>4345</v>
      </c>
      <c r="F24" s="9"/>
      <c r="G24" s="1">
        <f t="shared" si="0"/>
        <v>9100</v>
      </c>
    </row>
    <row r="25" spans="1:8" x14ac:dyDescent="0.25">
      <c r="C25" s="62"/>
      <c r="F25" s="9"/>
    </row>
    <row r="26" spans="1:8" x14ac:dyDescent="0.25">
      <c r="A26" s="1" t="s">
        <v>12</v>
      </c>
      <c r="B26" s="1" t="s">
        <v>3</v>
      </c>
      <c r="C26" s="62">
        <v>10400</v>
      </c>
      <c r="D26" s="1">
        <v>10400</v>
      </c>
      <c r="E26" s="1">
        <v>10400</v>
      </c>
      <c r="F26" s="9"/>
      <c r="G26" s="1">
        <f t="shared" si="0"/>
        <v>0</v>
      </c>
    </row>
    <row r="27" spans="1:8" x14ac:dyDescent="0.25">
      <c r="C27" s="62"/>
      <c r="F27" s="9"/>
    </row>
    <row r="28" spans="1:8" x14ac:dyDescent="0.25">
      <c r="A28" s="1" t="s">
        <v>13</v>
      </c>
      <c r="B28" s="1" t="s">
        <v>3</v>
      </c>
      <c r="C28" s="62"/>
      <c r="F28" s="9"/>
    </row>
    <row r="29" spans="1:8" x14ac:dyDescent="0.25">
      <c r="B29" s="1" t="s">
        <v>5</v>
      </c>
      <c r="C29" s="62">
        <f>SUM(1264+398+263+2928+1906+3778)</f>
        <v>10537</v>
      </c>
      <c r="D29" s="1">
        <f>1000+1000+2000+200+1600+700+1500+4000</f>
        <v>12000</v>
      </c>
      <c r="E29" s="1">
        <f>11425+189+1884+46+1311+1+3526</f>
        <v>18382</v>
      </c>
      <c r="F29" s="9"/>
      <c r="G29" s="1">
        <f t="shared" si="0"/>
        <v>-1463</v>
      </c>
    </row>
    <row r="30" spans="1:8" x14ac:dyDescent="0.25">
      <c r="C30" s="62"/>
      <c r="E30" s="60"/>
    </row>
    <row r="31" spans="1:8" x14ac:dyDescent="0.25">
      <c r="A31" s="1" t="s">
        <v>14</v>
      </c>
      <c r="B31" s="1" t="s">
        <v>3</v>
      </c>
      <c r="C31" s="62">
        <f>C5+C6+C10+C14+C17+C23+C26+C28</f>
        <v>293199</v>
      </c>
      <c r="D31" s="1">
        <f>D5+D10+D14+D17+D23+D26+D28</f>
        <v>288700</v>
      </c>
      <c r="E31" s="1">
        <f>E5+E10+E14+E17+E23+E26+E28</f>
        <v>244537</v>
      </c>
      <c r="G31" s="1">
        <f t="shared" si="0"/>
        <v>4499</v>
      </c>
    </row>
    <row r="32" spans="1:8" x14ac:dyDescent="0.25">
      <c r="B32" s="1" t="s">
        <v>5</v>
      </c>
      <c r="C32" s="62">
        <f>C7+C8+C11+C12+C15+C18+C19+C21+C24+C29</f>
        <v>207843</v>
      </c>
      <c r="D32" s="1">
        <f>D7+D8+D11+D12+D15+D18+D19+D21+D24+D29</f>
        <v>358800</v>
      </c>
      <c r="E32" s="1">
        <f>E7+E8+E11+E12+E15+E18+E19+E21+E24+E29</f>
        <v>199208</v>
      </c>
      <c r="G32" s="1">
        <f t="shared" si="0"/>
        <v>-150957</v>
      </c>
    </row>
    <row r="33" spans="1:9" x14ac:dyDescent="0.25">
      <c r="C33" s="63">
        <f>C31-C32</f>
        <v>85356</v>
      </c>
      <c r="D33" s="1">
        <f>D31-D32</f>
        <v>-70100</v>
      </c>
      <c r="E33" s="6">
        <f>E31-E32</f>
        <v>45329</v>
      </c>
      <c r="F33" s="7"/>
      <c r="G33" s="1">
        <f t="shared" si="0"/>
        <v>155456</v>
      </c>
    </row>
    <row r="36" spans="1:9" x14ac:dyDescent="0.25">
      <c r="A36" s="1" t="s">
        <v>154</v>
      </c>
    </row>
    <row r="37" spans="1:9" x14ac:dyDescent="0.25">
      <c r="G37" s="1" t="s">
        <v>239</v>
      </c>
    </row>
    <row r="38" spans="1:9" x14ac:dyDescent="0.25">
      <c r="A38" s="1" t="s">
        <v>15</v>
      </c>
      <c r="B38" s="56">
        <v>664879</v>
      </c>
      <c r="E38" s="9"/>
      <c r="G38" s="1">
        <v>22</v>
      </c>
      <c r="H38" s="1" t="s">
        <v>2</v>
      </c>
      <c r="I38" s="1" t="s">
        <v>219</v>
      </c>
    </row>
    <row r="39" spans="1:9" s="4" customFormat="1" x14ac:dyDescent="0.25">
      <c r="D39" s="1"/>
      <c r="F39" s="1"/>
      <c r="G39" s="1">
        <v>20</v>
      </c>
      <c r="H39" s="1" t="s">
        <v>2</v>
      </c>
      <c r="I39" s="1" t="s">
        <v>192</v>
      </c>
    </row>
    <row r="40" spans="1:9" x14ac:dyDescent="0.25">
      <c r="A40" s="9" t="s">
        <v>234</v>
      </c>
      <c r="B40" s="11"/>
      <c r="E40" s="11"/>
      <c r="G40" s="1">
        <v>14</v>
      </c>
      <c r="H40" s="1" t="s">
        <v>2</v>
      </c>
      <c r="I40" s="1" t="s">
        <v>193</v>
      </c>
    </row>
    <row r="41" spans="1:9" x14ac:dyDescent="0.25">
      <c r="A41" s="12"/>
      <c r="F41" s="8"/>
      <c r="G41" s="1">
        <v>3</v>
      </c>
      <c r="H41" s="1" t="s">
        <v>6</v>
      </c>
      <c r="I41" s="1" t="s">
        <v>202</v>
      </c>
    </row>
    <row r="42" spans="1:9" s="4" customFormat="1" x14ac:dyDescent="0.25">
      <c r="D42" s="1"/>
      <c r="F42" s="1"/>
      <c r="G42" s="1">
        <v>6</v>
      </c>
      <c r="H42" s="1" t="s">
        <v>203</v>
      </c>
      <c r="I42" s="1" t="s">
        <v>206</v>
      </c>
    </row>
    <row r="43" spans="1:9" x14ac:dyDescent="0.25">
      <c r="I43" s="1" t="s">
        <v>240</v>
      </c>
    </row>
    <row r="44" spans="1:9" x14ac:dyDescent="0.25">
      <c r="G44" s="1">
        <v>-5</v>
      </c>
      <c r="H44" s="1" t="s">
        <v>211</v>
      </c>
      <c r="I44" s="1" t="s">
        <v>212</v>
      </c>
    </row>
    <row r="45" spans="1:9" x14ac:dyDescent="0.25">
      <c r="G45" s="1">
        <v>-22</v>
      </c>
      <c r="H45" s="1" t="s">
        <v>204</v>
      </c>
      <c r="I45" s="1" t="s">
        <v>221</v>
      </c>
    </row>
    <row r="46" spans="1:9" x14ac:dyDescent="0.25">
      <c r="G46" s="4">
        <v>-5</v>
      </c>
      <c r="H46" s="4" t="s">
        <v>11</v>
      </c>
      <c r="I46" s="64" t="s">
        <v>210</v>
      </c>
    </row>
    <row r="47" spans="1:9" x14ac:dyDescent="0.25">
      <c r="C47" s="1"/>
      <c r="G47" s="4">
        <v>8</v>
      </c>
      <c r="H47" s="4" t="s">
        <v>13</v>
      </c>
      <c r="I47" s="64" t="s">
        <v>241</v>
      </c>
    </row>
    <row r="48" spans="1:9" x14ac:dyDescent="0.25">
      <c r="F48" s="13"/>
      <c r="G48" s="1">
        <f>SUM(G38:G47)</f>
        <v>41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60"/>
  <sheetViews>
    <sheetView tabSelected="1" topLeftCell="A13" workbookViewId="0">
      <selection activeCell="K39" sqref="K39"/>
    </sheetView>
  </sheetViews>
  <sheetFormatPr defaultRowHeight="15" x14ac:dyDescent="0.25"/>
  <cols>
    <col min="1" max="1" width="28.140625" style="1" customWidth="1"/>
    <col min="2" max="2" width="15.7109375" style="1" customWidth="1"/>
    <col min="3" max="3" width="15.5703125" customWidth="1"/>
    <col min="4" max="4" width="13.85546875" style="1" customWidth="1"/>
    <col min="5" max="5" width="13.28515625" style="1" customWidth="1"/>
    <col min="6" max="7" width="9.140625" customWidth="1"/>
    <col min="8" max="8" width="11.85546875" customWidth="1"/>
    <col min="11" max="11" width="54.85546875" customWidth="1"/>
  </cols>
  <sheetData>
    <row r="1" spans="1:11" x14ac:dyDescent="0.25">
      <c r="A1" s="1" t="s">
        <v>0</v>
      </c>
    </row>
    <row r="3" spans="1:11" x14ac:dyDescent="0.25">
      <c r="A3" s="1" t="s">
        <v>161</v>
      </c>
      <c r="C3" t="s">
        <v>160</v>
      </c>
      <c r="D3" s="2" t="s">
        <v>1</v>
      </c>
      <c r="E3" s="2" t="s">
        <v>159</v>
      </c>
      <c r="H3" t="s">
        <v>243</v>
      </c>
    </row>
    <row r="5" spans="1:11" x14ac:dyDescent="0.25">
      <c r="A5" s="1" t="s">
        <v>2</v>
      </c>
      <c r="B5" s="1" t="s">
        <v>3</v>
      </c>
      <c r="C5" s="62">
        <f>SUM(149377+3950+44100+2310)</f>
        <v>199737</v>
      </c>
      <c r="D5" s="1">
        <f>93600+4000+96000</f>
        <v>193600</v>
      </c>
      <c r="E5" s="1">
        <f>94665+3750+85800</f>
        <v>184215</v>
      </c>
      <c r="H5" t="s">
        <v>2</v>
      </c>
      <c r="I5">
        <f>C5-D5</f>
        <v>6137</v>
      </c>
      <c r="K5" t="s">
        <v>244</v>
      </c>
    </row>
    <row r="6" spans="1:11" s="1" customFormat="1" x14ac:dyDescent="0.25">
      <c r="B6" s="1" t="s">
        <v>12</v>
      </c>
      <c r="C6" s="62">
        <v>10000</v>
      </c>
      <c r="I6" s="1">
        <f>C6</f>
        <v>10000</v>
      </c>
      <c r="K6" s="1" t="s">
        <v>245</v>
      </c>
    </row>
    <row r="7" spans="1:11" x14ac:dyDescent="0.25">
      <c r="B7" s="1" t="s">
        <v>4</v>
      </c>
      <c r="C7" s="62">
        <v>33660</v>
      </c>
      <c r="D7" s="1">
        <v>70400</v>
      </c>
      <c r="E7" s="1">
        <v>62800</v>
      </c>
      <c r="I7">
        <f>C7-D7</f>
        <v>-36740</v>
      </c>
      <c r="K7" s="64" t="s">
        <v>248</v>
      </c>
    </row>
    <row r="8" spans="1:11" x14ac:dyDescent="0.25">
      <c r="B8" s="1" t="s">
        <v>5</v>
      </c>
      <c r="C8" s="62">
        <f>SUM(2872+6458+13000+2982)</f>
        <v>25312</v>
      </c>
      <c r="D8" s="1">
        <f>12500+15000+8000+4000+3000</f>
        <v>42500</v>
      </c>
      <c r="E8" s="1">
        <f>4909+14980+2942</f>
        <v>22831</v>
      </c>
      <c r="I8" s="1">
        <f>C8-D8</f>
        <v>-17188</v>
      </c>
      <c r="K8" t="s">
        <v>247</v>
      </c>
    </row>
    <row r="9" spans="1:11" x14ac:dyDescent="0.25">
      <c r="C9" s="62"/>
      <c r="I9" s="1"/>
      <c r="J9" s="6">
        <f>I5+I6-I7-I8</f>
        <v>70065</v>
      </c>
      <c r="K9" s="6" t="s">
        <v>246</v>
      </c>
    </row>
    <row r="10" spans="1:11" x14ac:dyDescent="0.25">
      <c r="A10" s="1" t="s">
        <v>6</v>
      </c>
      <c r="B10" s="1" t="s">
        <v>3</v>
      </c>
      <c r="C10" s="62">
        <f>SUM(5700+4950+7700+8750+3600+1400)</f>
        <v>32100</v>
      </c>
      <c r="D10" s="1">
        <f>1700+4000+6300+10000+4200+1500+2000</f>
        <v>29700</v>
      </c>
      <c r="E10" s="1">
        <f>7350+8600+1190+1300</f>
        <v>18440</v>
      </c>
      <c r="H10" t="s">
        <v>6</v>
      </c>
      <c r="I10" s="1">
        <f>C10-D10</f>
        <v>2400</v>
      </c>
      <c r="K10" t="s">
        <v>249</v>
      </c>
    </row>
    <row r="11" spans="1:11" x14ac:dyDescent="0.25">
      <c r="B11" s="1" t="s">
        <v>5</v>
      </c>
      <c r="C11" s="62">
        <f>SUM(1500+248+3887+2287+6055+4150)</f>
        <v>18127</v>
      </c>
      <c r="D11" s="1">
        <f>9000+500+1700+3000+6000+4000+5000+500</f>
        <v>29700</v>
      </c>
      <c r="E11" s="1">
        <f>512+7586+5536+145</f>
        <v>13779</v>
      </c>
      <c r="I11" s="1">
        <f>C11-D11</f>
        <v>-11573</v>
      </c>
      <c r="K11" t="s">
        <v>250</v>
      </c>
    </row>
    <row r="12" spans="1:11" x14ac:dyDescent="0.25">
      <c r="B12" s="1" t="s">
        <v>7</v>
      </c>
      <c r="C12" s="1">
        <v>5677</v>
      </c>
      <c r="D12" s="1">
        <v>2500</v>
      </c>
      <c r="E12" s="1">
        <v>939</v>
      </c>
      <c r="I12" s="1">
        <f>C12-D12</f>
        <v>3177</v>
      </c>
      <c r="K12" t="s">
        <v>251</v>
      </c>
    </row>
    <row r="13" spans="1:11" x14ac:dyDescent="0.25">
      <c r="C13" s="62"/>
      <c r="I13" s="1"/>
      <c r="J13" s="6">
        <f>I10-I11-I12</f>
        <v>10796</v>
      </c>
      <c r="K13" s="6" t="s">
        <v>252</v>
      </c>
    </row>
    <row r="14" spans="1:11" x14ac:dyDescent="0.25">
      <c r="A14" s="1" t="s">
        <v>8</v>
      </c>
      <c r="B14" s="1" t="s">
        <v>3</v>
      </c>
      <c r="C14" s="62">
        <v>1200</v>
      </c>
      <c r="H14" t="s">
        <v>203</v>
      </c>
      <c r="I14" s="1">
        <f>C14-D14</f>
        <v>1200</v>
      </c>
    </row>
    <row r="15" spans="1:11" x14ac:dyDescent="0.25">
      <c r="B15" s="1" t="s">
        <v>5</v>
      </c>
      <c r="C15" s="62">
        <f>SUM(14100+8553+36221+1706+4444+17254+3195+7005+11326)</f>
        <v>103804</v>
      </c>
      <c r="D15" s="1">
        <f>14100+8500+40000+3500+50000+16000+5000+6800+11300</f>
        <v>155200</v>
      </c>
      <c r="E15" s="1">
        <f>13800+8538+31776+19960+3148+15260+140+6576+11326</f>
        <v>110524</v>
      </c>
      <c r="I15" s="1">
        <f>C15-D15</f>
        <v>-51396</v>
      </c>
      <c r="K15" s="64" t="s">
        <v>253</v>
      </c>
    </row>
    <row r="16" spans="1:11" x14ac:dyDescent="0.25">
      <c r="C16" s="62"/>
      <c r="I16" s="1"/>
      <c r="J16" s="6">
        <f>I14-I15</f>
        <v>52596</v>
      </c>
      <c r="K16" s="6" t="s">
        <v>258</v>
      </c>
    </row>
    <row r="17" spans="1:11" x14ac:dyDescent="0.25">
      <c r="A17" s="1" t="s">
        <v>9</v>
      </c>
      <c r="B17" s="1" t="s">
        <v>3</v>
      </c>
      <c r="C17" s="62">
        <v>41905</v>
      </c>
      <c r="D17" s="1">
        <v>49000</v>
      </c>
      <c r="E17" s="1">
        <v>45630</v>
      </c>
      <c r="H17" t="s">
        <v>211</v>
      </c>
      <c r="I17" s="1">
        <f>C17-D17</f>
        <v>-7095</v>
      </c>
    </row>
    <row r="18" spans="1:11" x14ac:dyDescent="0.25">
      <c r="B18" s="1" t="s">
        <v>5</v>
      </c>
      <c r="C18" s="62">
        <f>1265+1588</f>
        <v>2853</v>
      </c>
      <c r="D18" s="1">
        <f>1500</f>
        <v>1500</v>
      </c>
      <c r="E18" s="1">
        <v>870</v>
      </c>
      <c r="I18" s="1">
        <f>C18-D18</f>
        <v>1353</v>
      </c>
    </row>
    <row r="19" spans="1:11" x14ac:dyDescent="0.25">
      <c r="B19" s="1" t="s">
        <v>10</v>
      </c>
      <c r="C19" s="62">
        <f>4329</f>
        <v>4329</v>
      </c>
      <c r="D19" s="1">
        <v>7500</v>
      </c>
      <c r="E19" s="1">
        <v>4006</v>
      </c>
      <c r="I19" s="1">
        <f>C19-D19</f>
        <v>-3171</v>
      </c>
    </row>
    <row r="20" spans="1:11" x14ac:dyDescent="0.25">
      <c r="C20" s="62"/>
      <c r="I20" s="1"/>
      <c r="J20" s="6">
        <f>I17-I18-I19</f>
        <v>-5277</v>
      </c>
      <c r="K20" s="6" t="s">
        <v>260</v>
      </c>
    </row>
    <row r="21" spans="1:11" ht="30" x14ac:dyDescent="0.25">
      <c r="A21" s="4" t="s">
        <v>16</v>
      </c>
      <c r="B21" s="1" t="s">
        <v>5</v>
      </c>
      <c r="C21" s="62">
        <f>SUM(8622+7329+284+2803+1923+5257+2345+2935)</f>
        <v>31498</v>
      </c>
      <c r="D21" s="1">
        <f>1500+3000+4000+500+3000+2000+8000+4000+5000</f>
        <v>31000</v>
      </c>
      <c r="E21" s="1">
        <f>219+200+1063+3583+1306+96+620+559</f>
        <v>7646</v>
      </c>
      <c r="H21" t="s">
        <v>256</v>
      </c>
      <c r="I21" s="1">
        <f>C21-D21</f>
        <v>498</v>
      </c>
      <c r="J21" s="6">
        <f>-I21</f>
        <v>-498</v>
      </c>
      <c r="K21" s="6" t="s">
        <v>259</v>
      </c>
    </row>
    <row r="22" spans="1:11" x14ac:dyDescent="0.25">
      <c r="C22" s="62"/>
      <c r="I22" s="1"/>
    </row>
    <row r="23" spans="1:11" x14ac:dyDescent="0.25">
      <c r="A23" s="1" t="s">
        <v>11</v>
      </c>
      <c r="B23" s="1" t="s">
        <v>3</v>
      </c>
      <c r="C23" s="62">
        <f>66+8005+2640</f>
        <v>10711</v>
      </c>
      <c r="D23" s="1">
        <v>6000</v>
      </c>
      <c r="E23" s="1">
        <v>3635</v>
      </c>
      <c r="H23" t="s">
        <v>11</v>
      </c>
      <c r="I23" s="1">
        <f>C23-D23</f>
        <v>4711</v>
      </c>
    </row>
    <row r="24" spans="1:11" x14ac:dyDescent="0.25">
      <c r="B24" s="1" t="s">
        <v>5</v>
      </c>
      <c r="C24" s="62">
        <f>SUM(860+944+14654)</f>
        <v>16458</v>
      </c>
      <c r="D24" s="1">
        <v>6500</v>
      </c>
      <c r="E24" s="1">
        <f>415+3930</f>
        <v>4345</v>
      </c>
      <c r="I24" s="1">
        <f>C24-D24</f>
        <v>9958</v>
      </c>
    </row>
    <row r="25" spans="1:11" x14ac:dyDescent="0.25">
      <c r="C25" s="62"/>
      <c r="I25" s="1"/>
      <c r="J25" s="6">
        <f>I23-I24</f>
        <v>-5247</v>
      </c>
      <c r="K25" s="6" t="s">
        <v>254</v>
      </c>
    </row>
    <row r="26" spans="1:11" x14ac:dyDescent="0.25">
      <c r="A26" s="1" t="s">
        <v>12</v>
      </c>
      <c r="B26" s="1" t="s">
        <v>3</v>
      </c>
      <c r="C26" s="62">
        <v>10400</v>
      </c>
      <c r="D26" s="1">
        <v>10400</v>
      </c>
      <c r="E26" s="1">
        <v>10400</v>
      </c>
      <c r="H26" t="s">
        <v>12</v>
      </c>
      <c r="I26" s="1">
        <f>C26-D26</f>
        <v>0</v>
      </c>
    </row>
    <row r="27" spans="1:11" x14ac:dyDescent="0.25">
      <c r="C27" s="62"/>
      <c r="I27" s="1"/>
    </row>
    <row r="28" spans="1:11" x14ac:dyDescent="0.25">
      <c r="A28" s="1" t="s">
        <v>13</v>
      </c>
      <c r="B28" s="1" t="s">
        <v>3</v>
      </c>
      <c r="C28" s="62">
        <f>741</f>
        <v>741</v>
      </c>
      <c r="I28" s="1"/>
    </row>
    <row r="29" spans="1:11" x14ac:dyDescent="0.25">
      <c r="B29" s="1" t="s">
        <v>5</v>
      </c>
      <c r="C29" s="62">
        <f>SUM(1264+398+263+3375+130+2127+6220)</f>
        <v>13777</v>
      </c>
      <c r="D29" s="1">
        <f>1000+1000+2000+200+1600+700+1500+4000</f>
        <v>12000</v>
      </c>
      <c r="E29" s="1">
        <f>12158+189+1884+46+1413+3526</f>
        <v>19216</v>
      </c>
      <c r="H29" t="s">
        <v>13</v>
      </c>
      <c r="I29" s="1">
        <v>1036</v>
      </c>
      <c r="J29" s="6">
        <f>I28-I29</f>
        <v>-1036</v>
      </c>
      <c r="K29" s="6" t="s">
        <v>255</v>
      </c>
    </row>
    <row r="30" spans="1:11" x14ac:dyDescent="0.25">
      <c r="C30" s="62"/>
      <c r="E30" s="60"/>
    </row>
    <row r="31" spans="1:11" x14ac:dyDescent="0.25">
      <c r="A31" s="1" t="s">
        <v>14</v>
      </c>
      <c r="B31" s="1" t="s">
        <v>3</v>
      </c>
      <c r="C31" s="62">
        <f>C5+C6+C10+C14+C17+C23+C26+C28</f>
        <v>306794</v>
      </c>
      <c r="D31" s="1">
        <f>D5+D10+D14+D17+D23+D26+D28</f>
        <v>288700</v>
      </c>
      <c r="E31" s="1">
        <f>E5+E10+E14+E17+E23+E26+E28</f>
        <v>262320</v>
      </c>
    </row>
    <row r="32" spans="1:11" x14ac:dyDescent="0.25">
      <c r="B32" s="1" t="s">
        <v>5</v>
      </c>
      <c r="C32" s="62">
        <f>C7+C8+C11+C12+C15+C18+C19+C21+C24+C29</f>
        <v>255495</v>
      </c>
      <c r="D32" s="1">
        <f>D7+D8+D11+D12+D15+D18+D19+D21+D24+D29</f>
        <v>358800</v>
      </c>
      <c r="E32" s="1">
        <f>E7+E8+E11+E12+E15+E18+E19+E21+E24+E29</f>
        <v>246956</v>
      </c>
    </row>
    <row r="33" spans="1:11" x14ac:dyDescent="0.25">
      <c r="C33" s="63">
        <f>C31-C32</f>
        <v>51299</v>
      </c>
      <c r="D33" s="1">
        <f>D31-D32</f>
        <v>-70100</v>
      </c>
      <c r="E33" s="6">
        <f>E31-E32</f>
        <v>15364</v>
      </c>
      <c r="H33" t="s">
        <v>257</v>
      </c>
      <c r="J33" s="6">
        <f>SUM(J9:J32)</f>
        <v>121399</v>
      </c>
      <c r="K33" s="65" t="s">
        <v>261</v>
      </c>
    </row>
    <row r="36" spans="1:11" x14ac:dyDescent="0.25">
      <c r="A36" s="1" t="s">
        <v>158</v>
      </c>
      <c r="B36" s="60"/>
    </row>
    <row r="38" spans="1:11" x14ac:dyDescent="0.25">
      <c r="A38" s="1" t="s">
        <v>15</v>
      </c>
      <c r="B38" s="56">
        <v>654095</v>
      </c>
      <c r="E38" s="9"/>
    </row>
    <row r="39" spans="1:11" ht="15" customHeight="1" x14ac:dyDescent="0.25"/>
    <row r="40" spans="1:11" x14ac:dyDescent="0.25">
      <c r="A40" s="9" t="s">
        <v>242</v>
      </c>
      <c r="B40" s="11"/>
      <c r="E40" s="11"/>
    </row>
    <row r="41" spans="1:11" x14ac:dyDescent="0.25">
      <c r="A41" s="12"/>
    </row>
    <row r="42" spans="1:11" ht="15" customHeight="1" x14ac:dyDescent="0.25"/>
    <row r="47" spans="1:11" ht="15" customHeight="1" x14ac:dyDescent="0.25"/>
    <row r="48" spans="1:11" ht="15" customHeight="1" x14ac:dyDescent="0.25"/>
    <row r="49" ht="15" customHeight="1" x14ac:dyDescent="0.25"/>
    <row r="50" ht="15" customHeight="1" x14ac:dyDescent="0.25"/>
    <row r="51" ht="15" customHeight="1" x14ac:dyDescent="0.25"/>
    <row r="52" ht="15" customHeight="1" x14ac:dyDescent="0.25"/>
    <row r="53" ht="15" customHeight="1" x14ac:dyDescent="0.25"/>
    <row r="54" ht="15" customHeight="1" x14ac:dyDescent="0.25"/>
    <row r="55" ht="15" customHeight="1" x14ac:dyDescent="0.25"/>
    <row r="56" ht="15" customHeight="1" x14ac:dyDescent="0.25"/>
    <row r="57" ht="15" customHeight="1" x14ac:dyDescent="0.25"/>
    <row r="58" ht="15" customHeight="1" x14ac:dyDescent="0.25"/>
    <row r="59" ht="15" customHeight="1" x14ac:dyDescent="0.25"/>
    <row r="60" ht="15" customHeight="1" x14ac:dyDescent="0.25"/>
  </sheetData>
  <pageMargins left="0.7" right="0.7" top="0.75" bottom="0.75" header="0.3" footer="0.3"/>
  <pageSetup paperSize="9" orientation="portrait" horizontalDpi="4294967293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E1:F1"/>
  <sheetViews>
    <sheetView workbookViewId="0">
      <selection activeCell="N15" sqref="N15"/>
    </sheetView>
  </sheetViews>
  <sheetFormatPr defaultRowHeight="15" x14ac:dyDescent="0.25"/>
  <cols>
    <col min="5" max="6" width="9.140625" style="1"/>
  </cols>
  <sheetData/>
  <pageMargins left="0.7" right="0.7" top="0.75" bottom="0.75" header="0.3" footer="0.3"/>
  <pageSetup paperSize="9" orientation="landscape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>
      <selection activeCell="G1" sqref="G1:G1048576"/>
    </sheetView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1175"/>
  <sheetViews>
    <sheetView workbookViewId="0">
      <selection activeCell="S22" sqref="S22"/>
    </sheetView>
  </sheetViews>
  <sheetFormatPr defaultRowHeight="15" x14ac:dyDescent="0.25"/>
  <cols>
    <col min="1" max="1" width="9.140625" style="1"/>
    <col min="2" max="2" width="30.85546875" style="1" customWidth="1"/>
    <col min="3" max="3" width="5.85546875" style="47" customWidth="1"/>
    <col min="4" max="4" width="11.7109375" style="1" customWidth="1"/>
    <col min="5" max="5" width="7.5703125" style="1" customWidth="1"/>
    <col min="6" max="6" width="11.7109375" style="1" customWidth="1"/>
    <col min="7" max="7" width="7.5703125" style="1" customWidth="1"/>
    <col min="8" max="8" width="11.7109375" style="1" customWidth="1"/>
    <col min="9" max="9" width="9.140625" style="1"/>
    <col min="10" max="10" width="11.42578125" style="1" customWidth="1"/>
    <col min="11" max="12" width="9.140625" style="1"/>
    <col min="13" max="13" width="24.85546875" customWidth="1"/>
    <col min="14" max="14" width="16.7109375" customWidth="1"/>
  </cols>
  <sheetData>
    <row r="1" spans="1:15" x14ac:dyDescent="0.25">
      <c r="A1" s="15" t="s">
        <v>17</v>
      </c>
      <c r="B1" s="16"/>
      <c r="C1" s="16"/>
      <c r="D1" s="17">
        <v>201231</v>
      </c>
      <c r="F1" s="18" t="s">
        <v>18</v>
      </c>
      <c r="H1" s="19" t="s">
        <v>19</v>
      </c>
    </row>
    <row r="2" spans="1:15" x14ac:dyDescent="0.25">
      <c r="B2" s="20"/>
      <c r="C2" s="16"/>
      <c r="D2" s="17" t="s">
        <v>20</v>
      </c>
      <c r="F2" s="21"/>
      <c r="H2" s="19"/>
      <c r="M2" s="1" t="s">
        <v>2</v>
      </c>
      <c r="N2" s="1" t="s">
        <v>3</v>
      </c>
      <c r="O2">
        <f>85300+3500+55200</f>
        <v>144000</v>
      </c>
    </row>
    <row r="3" spans="1:15" x14ac:dyDescent="0.25">
      <c r="B3" s="22" t="s">
        <v>21</v>
      </c>
      <c r="C3" s="32"/>
      <c r="D3" s="23"/>
      <c r="F3" s="21"/>
      <c r="H3" s="24"/>
      <c r="M3" s="1"/>
      <c r="N3" s="1" t="s">
        <v>4</v>
      </c>
      <c r="O3">
        <f>40500</f>
        <v>40500</v>
      </c>
    </row>
    <row r="4" spans="1:15" x14ac:dyDescent="0.25">
      <c r="A4" s="25">
        <v>3010</v>
      </c>
      <c r="B4" s="26" t="s">
        <v>22</v>
      </c>
      <c r="C4" s="25"/>
      <c r="D4" s="27">
        <v>-3864</v>
      </c>
      <c r="F4" s="28">
        <v>-8000</v>
      </c>
      <c r="H4" s="29">
        <v>-8000</v>
      </c>
      <c r="J4" s="1" t="s">
        <v>108</v>
      </c>
      <c r="M4" s="1"/>
      <c r="N4" s="1" t="s">
        <v>5</v>
      </c>
      <c r="O4">
        <f>6000+5000+20000+10000+3500</f>
        <v>44500</v>
      </c>
    </row>
    <row r="5" spans="1:15" x14ac:dyDescent="0.25">
      <c r="A5" s="30">
        <v>3110</v>
      </c>
      <c r="B5" s="31" t="s">
        <v>2</v>
      </c>
      <c r="C5" s="30"/>
      <c r="D5" s="27">
        <v>-84429</v>
      </c>
      <c r="F5" s="28">
        <v>-94720</v>
      </c>
      <c r="H5" s="29">
        <v>-85300</v>
      </c>
      <c r="J5" s="1" t="s">
        <v>99</v>
      </c>
      <c r="M5" s="1"/>
      <c r="N5" s="1"/>
    </row>
    <row r="6" spans="1:15" x14ac:dyDescent="0.25">
      <c r="A6" s="25">
        <v>3111</v>
      </c>
      <c r="B6" s="26" t="s">
        <v>23</v>
      </c>
      <c r="C6" s="25"/>
      <c r="D6" s="27"/>
      <c r="F6" s="28">
        <v>0</v>
      </c>
      <c r="H6" s="29"/>
      <c r="J6" s="1" t="s">
        <v>99</v>
      </c>
      <c r="M6" s="1" t="s">
        <v>6</v>
      </c>
      <c r="N6" s="1" t="s">
        <v>3</v>
      </c>
      <c r="O6">
        <f>1700+4000+5500+10000+5500+2000+250</f>
        <v>28950</v>
      </c>
    </row>
    <row r="7" spans="1:15" x14ac:dyDescent="0.25">
      <c r="A7" s="25">
        <v>3112</v>
      </c>
      <c r="B7" s="26" t="s">
        <v>24</v>
      </c>
      <c r="C7" s="25"/>
      <c r="D7" s="27">
        <v>-3950</v>
      </c>
      <c r="F7" s="28">
        <v>-2500</v>
      </c>
      <c r="H7" s="29">
        <v>-3500</v>
      </c>
      <c r="J7" s="1" t="s">
        <v>99</v>
      </c>
      <c r="M7" s="1"/>
      <c r="N7" s="1" t="s">
        <v>5</v>
      </c>
      <c r="O7">
        <f>1800+3000+5000+3300+5000</f>
        <v>18100</v>
      </c>
    </row>
    <row r="8" spans="1:15" x14ac:dyDescent="0.25">
      <c r="A8" s="25">
        <v>3113</v>
      </c>
      <c r="B8" s="26" t="s">
        <v>25</v>
      </c>
      <c r="C8" s="25"/>
      <c r="D8" s="27"/>
      <c r="F8" s="28">
        <v>0</v>
      </c>
      <c r="H8" s="29"/>
      <c r="J8" s="1" t="s">
        <v>99</v>
      </c>
      <c r="M8" s="1"/>
      <c r="N8" s="1" t="s">
        <v>7</v>
      </c>
      <c r="O8">
        <f>2500+3000</f>
        <v>5500</v>
      </c>
    </row>
    <row r="9" spans="1:15" x14ac:dyDescent="0.25">
      <c r="A9" s="25">
        <v>3115</v>
      </c>
      <c r="B9" s="26" t="s">
        <v>26</v>
      </c>
      <c r="C9" s="25"/>
      <c r="D9" s="27"/>
      <c r="F9" s="28">
        <v>0</v>
      </c>
      <c r="H9" s="29"/>
      <c r="J9" s="1" t="s">
        <v>99</v>
      </c>
      <c r="M9" s="1"/>
      <c r="N9" s="1"/>
    </row>
    <row r="10" spans="1:15" x14ac:dyDescent="0.25">
      <c r="A10" s="25">
        <v>3129</v>
      </c>
      <c r="B10" s="26" t="s">
        <v>27</v>
      </c>
      <c r="C10" s="25"/>
      <c r="D10" s="27">
        <v>0</v>
      </c>
      <c r="F10" s="28">
        <v>-55200</v>
      </c>
      <c r="H10" s="29"/>
      <c r="J10" s="1" t="s">
        <v>99</v>
      </c>
      <c r="M10" s="1" t="s">
        <v>8</v>
      </c>
      <c r="N10" s="1" t="s">
        <v>3</v>
      </c>
    </row>
    <row r="11" spans="1:15" x14ac:dyDescent="0.25">
      <c r="A11" s="25">
        <v>3130</v>
      </c>
      <c r="B11" s="26" t="s">
        <v>28</v>
      </c>
      <c r="C11" s="25"/>
      <c r="D11" s="27">
        <v>-28120</v>
      </c>
      <c r="F11" s="28">
        <v>-55040</v>
      </c>
      <c r="H11" s="29">
        <v>-55200</v>
      </c>
      <c r="J11" s="1" t="s">
        <v>99</v>
      </c>
      <c r="M11" s="1"/>
      <c r="N11" s="1" t="s">
        <v>5</v>
      </c>
      <c r="O11">
        <f>14000+8500+25000+2000+3500+3000+22600+22000+6000+11300</f>
        <v>117900</v>
      </c>
    </row>
    <row r="12" spans="1:15" x14ac:dyDescent="0.25">
      <c r="A12" s="25">
        <v>3140</v>
      </c>
      <c r="B12" s="26" t="s">
        <v>29</v>
      </c>
      <c r="C12" s="25"/>
      <c r="D12" s="27">
        <v>-300</v>
      </c>
      <c r="F12" s="28">
        <v>-1700</v>
      </c>
      <c r="H12" s="29">
        <v>-1700</v>
      </c>
      <c r="J12" s="1" t="s">
        <v>109</v>
      </c>
      <c r="M12" s="1"/>
      <c r="N12" s="1"/>
    </row>
    <row r="13" spans="1:15" x14ac:dyDescent="0.25">
      <c r="A13" s="25">
        <v>3141</v>
      </c>
      <c r="B13" s="26" t="s">
        <v>30</v>
      </c>
      <c r="C13" s="25"/>
      <c r="D13" s="27"/>
      <c r="F13" s="28">
        <v>-4000</v>
      </c>
      <c r="H13" s="29">
        <v>-4000</v>
      </c>
      <c r="J13" s="1" t="s">
        <v>109</v>
      </c>
      <c r="M13" s="1" t="s">
        <v>9</v>
      </c>
      <c r="N13" s="1" t="s">
        <v>3</v>
      </c>
      <c r="O13">
        <v>45500</v>
      </c>
    </row>
    <row r="14" spans="1:15" x14ac:dyDescent="0.25">
      <c r="A14" s="25">
        <v>3142</v>
      </c>
      <c r="B14" s="26" t="s">
        <v>31</v>
      </c>
      <c r="C14" s="25"/>
      <c r="D14" s="27">
        <v>-5390</v>
      </c>
      <c r="F14" s="28">
        <v>-5000</v>
      </c>
      <c r="H14" s="29">
        <v>-5500</v>
      </c>
      <c r="J14" s="1" t="s">
        <v>109</v>
      </c>
      <c r="M14" s="1"/>
      <c r="N14" s="1" t="s">
        <v>5</v>
      </c>
      <c r="O14">
        <v>1600</v>
      </c>
    </row>
    <row r="15" spans="1:15" x14ac:dyDescent="0.25">
      <c r="A15" s="25">
        <v>3143</v>
      </c>
      <c r="B15" s="26" t="s">
        <v>32</v>
      </c>
      <c r="C15" s="25"/>
      <c r="D15" s="27">
        <v>-2450</v>
      </c>
      <c r="F15" s="28">
        <v>-8000</v>
      </c>
      <c r="H15" s="29">
        <v>-10000</v>
      </c>
      <c r="J15" s="1" t="s">
        <v>109</v>
      </c>
      <c r="M15" s="1"/>
      <c r="N15" s="1" t="s">
        <v>10</v>
      </c>
      <c r="O15">
        <v>7500</v>
      </c>
    </row>
    <row r="16" spans="1:15" x14ac:dyDescent="0.25">
      <c r="A16" s="25">
        <v>3144</v>
      </c>
      <c r="B16" s="26" t="s">
        <v>33</v>
      </c>
      <c r="C16" s="25"/>
      <c r="D16" s="27"/>
      <c r="F16" s="28"/>
      <c r="H16" s="29"/>
      <c r="J16" s="1" t="s">
        <v>109</v>
      </c>
      <c r="M16" s="1"/>
      <c r="N16" s="1"/>
    </row>
    <row r="17" spans="1:16" ht="45" x14ac:dyDescent="0.25">
      <c r="A17" s="25">
        <v>3145</v>
      </c>
      <c r="B17" s="26" t="s">
        <v>34</v>
      </c>
      <c r="C17" s="25"/>
      <c r="D17" s="27"/>
      <c r="F17" s="28">
        <v>-5000</v>
      </c>
      <c r="H17" s="29">
        <v>-5500</v>
      </c>
      <c r="J17" s="1" t="s">
        <v>109</v>
      </c>
      <c r="M17" s="4" t="s">
        <v>16</v>
      </c>
      <c r="N17" s="4" t="s">
        <v>5</v>
      </c>
      <c r="O17" s="4">
        <f>1000+300+3000+500+2000+5000+8000+4000+3000</f>
        <v>26800</v>
      </c>
    </row>
    <row r="18" spans="1:16" x14ac:dyDescent="0.25">
      <c r="A18" s="25">
        <v>3149</v>
      </c>
      <c r="B18" s="26" t="s">
        <v>35</v>
      </c>
      <c r="C18" s="25"/>
      <c r="D18" s="27"/>
      <c r="F18" s="28"/>
      <c r="H18" s="29">
        <v>0</v>
      </c>
      <c r="J18" s="1" t="s">
        <v>109</v>
      </c>
      <c r="M18" s="1"/>
      <c r="N18" s="1"/>
    </row>
    <row r="19" spans="1:16" s="4" customFormat="1" ht="28.5" customHeight="1" x14ac:dyDescent="0.25">
      <c r="A19" s="48">
        <v>3150</v>
      </c>
      <c r="B19" s="49" t="s">
        <v>36</v>
      </c>
      <c r="C19" s="48"/>
      <c r="D19" s="50"/>
      <c r="F19" s="51">
        <v>-2000</v>
      </c>
      <c r="H19" s="24">
        <v>-2000</v>
      </c>
      <c r="J19" s="4" t="s">
        <v>109</v>
      </c>
      <c r="M19" s="1" t="s">
        <v>11</v>
      </c>
      <c r="N19" s="1" t="s">
        <v>3</v>
      </c>
      <c r="O19">
        <v>8000</v>
      </c>
      <c r="P19"/>
    </row>
    <row r="20" spans="1:16" x14ac:dyDescent="0.25">
      <c r="A20" s="25">
        <v>3151</v>
      </c>
      <c r="B20" s="26" t="s">
        <v>37</v>
      </c>
      <c r="C20" s="25"/>
      <c r="D20" s="27">
        <v>-310</v>
      </c>
      <c r="F20" s="28"/>
      <c r="H20" s="29">
        <v>-250</v>
      </c>
      <c r="J20" s="1" t="s">
        <v>109</v>
      </c>
      <c r="M20" s="1"/>
      <c r="N20" s="1" t="s">
        <v>5</v>
      </c>
      <c r="O20">
        <f>8000+500</f>
        <v>8500</v>
      </c>
    </row>
    <row r="21" spans="1:16" x14ac:dyDescent="0.25">
      <c r="A21" s="25">
        <v>3510</v>
      </c>
      <c r="B21" s="26" t="s">
        <v>38</v>
      </c>
      <c r="C21" s="25"/>
      <c r="D21" s="27">
        <v>-43155</v>
      </c>
      <c r="F21" s="28">
        <v>-48125</v>
      </c>
      <c r="H21" s="29">
        <v>-45500</v>
      </c>
      <c r="J21" s="1" t="s">
        <v>110</v>
      </c>
      <c r="M21" s="1"/>
      <c r="N21" s="1"/>
    </row>
    <row r="22" spans="1:16" x14ac:dyDescent="0.25">
      <c r="A22" s="25">
        <v>3511</v>
      </c>
      <c r="B22" s="26" t="s">
        <v>39</v>
      </c>
      <c r="C22" s="25"/>
      <c r="D22" s="27"/>
      <c r="F22" s="28"/>
      <c r="H22" s="29"/>
      <c r="J22" s="1" t="s">
        <v>110</v>
      </c>
      <c r="M22" s="1" t="s">
        <v>12</v>
      </c>
      <c r="N22" s="1" t="s">
        <v>3</v>
      </c>
      <c r="O22">
        <v>10400</v>
      </c>
    </row>
    <row r="23" spans="1:16" x14ac:dyDescent="0.25">
      <c r="A23" s="25">
        <v>3521</v>
      </c>
      <c r="B23" s="26" t="s">
        <v>40</v>
      </c>
      <c r="C23" s="25"/>
      <c r="D23" s="27"/>
      <c r="F23" s="28"/>
      <c r="H23" s="29"/>
      <c r="J23" s="1" t="s">
        <v>111</v>
      </c>
      <c r="M23" s="1"/>
      <c r="N23" s="1"/>
    </row>
    <row r="24" spans="1:16" x14ac:dyDescent="0.25">
      <c r="A24" s="25">
        <v>3690</v>
      </c>
      <c r="B24" s="26" t="s">
        <v>41</v>
      </c>
      <c r="C24" s="25"/>
      <c r="D24" s="27"/>
      <c r="F24" s="28"/>
      <c r="H24" s="29"/>
      <c r="J24" s="1" t="s">
        <v>112</v>
      </c>
      <c r="M24" s="1" t="s">
        <v>13</v>
      </c>
      <c r="N24" s="1" t="s">
        <v>3</v>
      </c>
    </row>
    <row r="25" spans="1:16" x14ac:dyDescent="0.25">
      <c r="A25" s="25"/>
      <c r="B25" s="26"/>
      <c r="C25" s="25"/>
      <c r="D25" s="27"/>
      <c r="F25" s="28"/>
      <c r="H25" s="29"/>
      <c r="M25" s="1"/>
      <c r="N25" s="1" t="s">
        <v>5</v>
      </c>
      <c r="O25">
        <f>7500+1000+1000+2000+200+700+1300+3000</f>
        <v>16700</v>
      </c>
    </row>
    <row r="26" spans="1:16" x14ac:dyDescent="0.25">
      <c r="A26" s="25">
        <v>3987</v>
      </c>
      <c r="B26" s="26" t="s">
        <v>42</v>
      </c>
      <c r="C26" s="25"/>
      <c r="D26" s="27">
        <v>-10400</v>
      </c>
      <c r="F26" s="28">
        <v>-10400</v>
      </c>
      <c r="H26" s="29">
        <v>-10400</v>
      </c>
      <c r="J26" s="1" t="s">
        <v>12</v>
      </c>
    </row>
    <row r="27" spans="1:16" x14ac:dyDescent="0.25">
      <c r="A27" s="25">
        <v>3990</v>
      </c>
      <c r="B27" s="26" t="s">
        <v>43</v>
      </c>
      <c r="C27" s="25"/>
      <c r="D27" s="27"/>
      <c r="F27" s="28"/>
      <c r="H27" s="29"/>
      <c r="J27" s="1" t="s">
        <v>112</v>
      </c>
      <c r="O27" s="52">
        <f>O2+O6+O13+O19+O22</f>
        <v>236850</v>
      </c>
    </row>
    <row r="28" spans="1:16" x14ac:dyDescent="0.25">
      <c r="A28" s="32"/>
      <c r="B28" s="22" t="s">
        <v>44</v>
      </c>
      <c r="C28" s="32"/>
      <c r="D28" s="33">
        <v>-182368</v>
      </c>
      <c r="F28" s="34">
        <v>-299685</v>
      </c>
      <c r="H28" s="35">
        <f>SUM(H4:H27)</f>
        <v>-236850</v>
      </c>
      <c r="O28">
        <f>O25+O20+O17+O15+O14+O11+O8+O7+O4+O3</f>
        <v>287600</v>
      </c>
    </row>
    <row r="29" spans="1:16" x14ac:dyDescent="0.25">
      <c r="A29" s="25"/>
      <c r="B29" s="26"/>
      <c r="C29" s="25"/>
      <c r="D29" s="27"/>
      <c r="F29" s="28"/>
      <c r="H29" s="29"/>
      <c r="O29">
        <f>O27-O28</f>
        <v>-50750</v>
      </c>
    </row>
    <row r="30" spans="1:16" x14ac:dyDescent="0.25">
      <c r="A30" s="25"/>
      <c r="B30" s="22" t="s">
        <v>45</v>
      </c>
      <c r="C30" s="32"/>
      <c r="D30" s="27"/>
      <c r="F30" s="28"/>
      <c r="H30" s="29"/>
    </row>
    <row r="31" spans="1:16" x14ac:dyDescent="0.25">
      <c r="A31" s="25">
        <v>4009</v>
      </c>
      <c r="B31" s="26" t="s">
        <v>46</v>
      </c>
      <c r="C31" s="25"/>
      <c r="D31" s="27">
        <v>262.05</v>
      </c>
      <c r="F31" s="28">
        <v>1000</v>
      </c>
      <c r="H31" s="29">
        <v>500</v>
      </c>
      <c r="J31" s="1" t="s">
        <v>106</v>
      </c>
    </row>
    <row r="32" spans="1:16" x14ac:dyDescent="0.25">
      <c r="A32" s="25">
        <v>4010</v>
      </c>
      <c r="B32" s="26" t="s">
        <v>47</v>
      </c>
      <c r="C32" s="25"/>
      <c r="D32" s="27">
        <v>4774.3999999999996</v>
      </c>
      <c r="F32" s="28">
        <v>8000</v>
      </c>
      <c r="H32" s="29">
        <v>8000</v>
      </c>
      <c r="J32" s="1" t="s">
        <v>106</v>
      </c>
    </row>
    <row r="33" spans="1:10" x14ac:dyDescent="0.25">
      <c r="A33" s="25">
        <v>4011</v>
      </c>
      <c r="B33" s="26" t="s">
        <v>48</v>
      </c>
      <c r="C33" s="25"/>
      <c r="D33" s="27">
        <v>311</v>
      </c>
      <c r="F33" s="28">
        <v>4500</v>
      </c>
      <c r="H33" s="29">
        <v>2500</v>
      </c>
      <c r="J33" s="1" t="s">
        <v>107</v>
      </c>
    </row>
    <row r="34" spans="1:10" x14ac:dyDescent="0.25">
      <c r="A34" s="25">
        <v>4013</v>
      </c>
      <c r="B34" s="26" t="s">
        <v>49</v>
      </c>
      <c r="C34" s="25"/>
      <c r="D34" s="27">
        <v>-3500</v>
      </c>
      <c r="F34" s="28">
        <v>3000</v>
      </c>
      <c r="H34" s="29">
        <v>3000</v>
      </c>
      <c r="J34" s="1" t="s">
        <v>107</v>
      </c>
    </row>
    <row r="35" spans="1:10" x14ac:dyDescent="0.25">
      <c r="A35" s="25">
        <v>4014</v>
      </c>
      <c r="B35" s="26" t="s">
        <v>37</v>
      </c>
      <c r="C35" s="25"/>
      <c r="D35" s="27">
        <v>680</v>
      </c>
      <c r="F35" s="28"/>
      <c r="H35" s="29">
        <v>0</v>
      </c>
      <c r="J35" s="1" t="s">
        <v>105</v>
      </c>
    </row>
    <row r="36" spans="1:10" x14ac:dyDescent="0.25">
      <c r="A36" s="25">
        <v>4018</v>
      </c>
      <c r="B36" s="26" t="s">
        <v>50</v>
      </c>
      <c r="C36" s="25"/>
      <c r="D36" s="27">
        <v>165</v>
      </c>
      <c r="F36" s="28">
        <v>3000</v>
      </c>
      <c r="H36" s="29"/>
      <c r="J36" s="1" t="s">
        <v>105</v>
      </c>
    </row>
    <row r="37" spans="1:10" x14ac:dyDescent="0.25">
      <c r="A37" s="25">
        <v>4107</v>
      </c>
      <c r="B37" s="31" t="s">
        <v>51</v>
      </c>
      <c r="C37" s="30"/>
      <c r="D37" s="27"/>
      <c r="F37" s="36">
        <v>6000</v>
      </c>
      <c r="H37" s="29">
        <v>6000</v>
      </c>
      <c r="J37" s="1" t="s">
        <v>104</v>
      </c>
    </row>
    <row r="38" spans="1:10" x14ac:dyDescent="0.25">
      <c r="A38" s="25">
        <v>4109</v>
      </c>
      <c r="B38" s="26" t="s">
        <v>52</v>
      </c>
      <c r="C38" s="25"/>
      <c r="D38" s="27">
        <v>525</v>
      </c>
      <c r="F38" s="28">
        <v>3000</v>
      </c>
      <c r="H38" s="29">
        <v>1000</v>
      </c>
      <c r="J38" s="1" t="s">
        <v>103</v>
      </c>
    </row>
    <row r="39" spans="1:10" x14ac:dyDescent="0.25">
      <c r="A39" s="25">
        <v>4110</v>
      </c>
      <c r="B39" s="26" t="s">
        <v>2</v>
      </c>
      <c r="C39" s="25"/>
      <c r="D39" s="27">
        <v>942</v>
      </c>
      <c r="F39" s="36">
        <v>6500</v>
      </c>
      <c r="H39" s="29">
        <v>5000</v>
      </c>
      <c r="J39" s="1" t="s">
        <v>104</v>
      </c>
    </row>
    <row r="40" spans="1:10" x14ac:dyDescent="0.25">
      <c r="A40" s="25">
        <v>4111</v>
      </c>
      <c r="B40" s="26" t="s">
        <v>53</v>
      </c>
      <c r="C40" s="25"/>
      <c r="D40" s="27">
        <v>0</v>
      </c>
      <c r="F40" s="36">
        <v>12000</v>
      </c>
      <c r="H40" s="29">
        <v>20000</v>
      </c>
      <c r="J40" s="1" t="s">
        <v>104</v>
      </c>
    </row>
    <row r="41" spans="1:10" x14ac:dyDescent="0.25">
      <c r="A41" s="25">
        <v>4112</v>
      </c>
      <c r="B41" s="26" t="s">
        <v>54</v>
      </c>
      <c r="C41" s="25"/>
      <c r="D41" s="27"/>
      <c r="F41" s="36"/>
      <c r="H41" s="29"/>
      <c r="J41" s="1" t="s">
        <v>105</v>
      </c>
    </row>
    <row r="42" spans="1:10" x14ac:dyDescent="0.25">
      <c r="A42" s="25">
        <v>4113</v>
      </c>
      <c r="B42" s="26" t="s">
        <v>25</v>
      </c>
      <c r="C42" s="25"/>
      <c r="D42" s="27"/>
      <c r="F42" s="36"/>
      <c r="H42" s="29"/>
      <c r="J42" s="1" t="s">
        <v>105</v>
      </c>
    </row>
    <row r="43" spans="1:10" x14ac:dyDescent="0.25">
      <c r="A43" s="25">
        <v>4115</v>
      </c>
      <c r="B43" s="26" t="s">
        <v>55</v>
      </c>
      <c r="C43" s="25"/>
      <c r="D43" s="27">
        <v>0</v>
      </c>
      <c r="F43" s="36">
        <v>10000</v>
      </c>
      <c r="H43" s="29">
        <v>10000</v>
      </c>
      <c r="J43" s="1" t="s">
        <v>104</v>
      </c>
    </row>
    <row r="44" spans="1:10" x14ac:dyDescent="0.25">
      <c r="A44" s="25">
        <v>4118</v>
      </c>
      <c r="B44" s="26" t="s">
        <v>36</v>
      </c>
      <c r="C44" s="25"/>
      <c r="D44" s="27">
        <v>0</v>
      </c>
      <c r="F44" s="36"/>
      <c r="H44" s="29"/>
      <c r="J44" s="1" t="s">
        <v>105</v>
      </c>
    </row>
    <row r="45" spans="1:10" x14ac:dyDescent="0.25">
      <c r="A45" s="25">
        <v>4129</v>
      </c>
      <c r="B45" s="26" t="s">
        <v>56</v>
      </c>
      <c r="C45" s="25"/>
      <c r="D45" s="27">
        <v>0</v>
      </c>
      <c r="F45" s="28">
        <v>41000</v>
      </c>
      <c r="H45" s="29"/>
      <c r="J45" s="1" t="s">
        <v>104</v>
      </c>
    </row>
    <row r="46" spans="1:10" x14ac:dyDescent="0.25">
      <c r="A46" s="25">
        <v>4130</v>
      </c>
      <c r="B46" s="26" t="s">
        <v>57</v>
      </c>
      <c r="C46" s="25"/>
      <c r="D46" s="27">
        <v>21200</v>
      </c>
      <c r="F46" s="28">
        <v>38400</v>
      </c>
      <c r="H46" s="29">
        <v>40500</v>
      </c>
      <c r="J46" s="1" t="s">
        <v>104</v>
      </c>
    </row>
    <row r="47" spans="1:10" x14ac:dyDescent="0.25">
      <c r="A47" s="25">
        <v>4140</v>
      </c>
      <c r="B47" s="26" t="s">
        <v>29</v>
      </c>
      <c r="C47" s="25"/>
      <c r="D47" s="27"/>
      <c r="F47" s="28">
        <v>1800</v>
      </c>
      <c r="H47" s="29">
        <v>1800</v>
      </c>
      <c r="J47" s="1" t="s">
        <v>105</v>
      </c>
    </row>
    <row r="48" spans="1:10" x14ac:dyDescent="0.25">
      <c r="A48" s="25">
        <v>4141</v>
      </c>
      <c r="B48" s="26" t="s">
        <v>30</v>
      </c>
      <c r="C48" s="25"/>
      <c r="D48" s="27">
        <v>0</v>
      </c>
      <c r="F48" s="28">
        <v>3000</v>
      </c>
      <c r="H48" s="29">
        <v>3000</v>
      </c>
      <c r="J48" s="1" t="s">
        <v>105</v>
      </c>
    </row>
    <row r="49" spans="1:10" x14ac:dyDescent="0.25">
      <c r="A49" s="25">
        <v>4142</v>
      </c>
      <c r="B49" s="26" t="s">
        <v>31</v>
      </c>
      <c r="C49" s="25"/>
      <c r="D49" s="27">
        <v>3389</v>
      </c>
      <c r="F49" s="28">
        <v>5500</v>
      </c>
      <c r="H49" s="29">
        <v>5000</v>
      </c>
      <c r="J49" s="1" t="s">
        <v>105</v>
      </c>
    </row>
    <row r="50" spans="1:10" x14ac:dyDescent="0.25">
      <c r="A50" s="25">
        <v>4143</v>
      </c>
      <c r="B50" s="26" t="s">
        <v>32</v>
      </c>
      <c r="C50" s="25"/>
      <c r="D50" s="27">
        <v>1200</v>
      </c>
      <c r="F50" s="28">
        <v>3300</v>
      </c>
      <c r="H50" s="29">
        <v>3300</v>
      </c>
      <c r="J50" s="1" t="s">
        <v>105</v>
      </c>
    </row>
    <row r="51" spans="1:10" x14ac:dyDescent="0.25">
      <c r="A51" s="25">
        <v>4145</v>
      </c>
      <c r="B51" s="26" t="s">
        <v>34</v>
      </c>
      <c r="C51" s="25"/>
      <c r="D51" s="27"/>
      <c r="F51" s="28">
        <v>5500</v>
      </c>
      <c r="H51" s="29">
        <v>5000</v>
      </c>
      <c r="J51" s="1" t="s">
        <v>105</v>
      </c>
    </row>
    <row r="52" spans="1:10" x14ac:dyDescent="0.25">
      <c r="A52" s="25">
        <v>4146</v>
      </c>
      <c r="B52" s="26" t="s">
        <v>35</v>
      </c>
      <c r="C52" s="25"/>
      <c r="D52" s="27"/>
      <c r="F52" s="28"/>
      <c r="H52" s="29"/>
      <c r="J52" s="1" t="s">
        <v>105</v>
      </c>
    </row>
    <row r="53" spans="1:10" x14ac:dyDescent="0.25">
      <c r="A53" s="25">
        <v>4147</v>
      </c>
      <c r="B53" s="26" t="s">
        <v>58</v>
      </c>
      <c r="C53" s="25"/>
      <c r="D53" s="27"/>
      <c r="F53" s="28"/>
      <c r="H53" s="29"/>
      <c r="J53" s="1" t="s">
        <v>105</v>
      </c>
    </row>
    <row r="54" spans="1:10" x14ac:dyDescent="0.25">
      <c r="A54" s="25">
        <v>4148</v>
      </c>
      <c r="B54" s="26" t="s">
        <v>59</v>
      </c>
      <c r="C54" s="25"/>
      <c r="D54" s="27"/>
      <c r="F54" s="28"/>
      <c r="H54" s="29"/>
      <c r="J54" s="1" t="s">
        <v>105</v>
      </c>
    </row>
    <row r="55" spans="1:10" x14ac:dyDescent="0.25">
      <c r="A55" s="25">
        <v>4511</v>
      </c>
      <c r="B55" s="26" t="s">
        <v>60</v>
      </c>
      <c r="C55" s="25"/>
      <c r="D55" s="27">
        <v>7398</v>
      </c>
      <c r="F55" s="28">
        <v>7000</v>
      </c>
      <c r="H55" s="29">
        <v>7500</v>
      </c>
      <c r="J55" s="1" t="s">
        <v>102</v>
      </c>
    </row>
    <row r="56" spans="1:10" x14ac:dyDescent="0.25">
      <c r="A56" s="32"/>
      <c r="B56" s="22"/>
      <c r="C56" s="32"/>
      <c r="D56" s="33">
        <v>37346.449999999997</v>
      </c>
      <c r="E56" s="37"/>
      <c r="F56" s="34">
        <v>162500</v>
      </c>
      <c r="G56" s="22"/>
      <c r="H56" s="35">
        <f>SUM(H31:H55)</f>
        <v>122100</v>
      </c>
    </row>
    <row r="57" spans="1:10" x14ac:dyDescent="0.25">
      <c r="A57" s="25">
        <v>5010</v>
      </c>
      <c r="B57" s="26" t="s">
        <v>61</v>
      </c>
      <c r="C57" s="25"/>
      <c r="D57" s="27">
        <v>28800</v>
      </c>
      <c r="F57" s="28">
        <v>13700</v>
      </c>
      <c r="H57" s="29">
        <v>14000</v>
      </c>
      <c r="J57" s="1" t="s">
        <v>101</v>
      </c>
    </row>
    <row r="58" spans="1:10" x14ac:dyDescent="0.25">
      <c r="A58" s="25">
        <v>5011</v>
      </c>
      <c r="B58" s="26" t="s">
        <v>62</v>
      </c>
      <c r="C58" s="25"/>
      <c r="D58" s="27">
        <v>3536</v>
      </c>
      <c r="F58" s="28">
        <v>3500</v>
      </c>
      <c r="H58" s="29">
        <v>8500</v>
      </c>
      <c r="J58" s="1" t="s">
        <v>101</v>
      </c>
    </row>
    <row r="59" spans="1:10" x14ac:dyDescent="0.25">
      <c r="A59" s="25">
        <v>5020</v>
      </c>
      <c r="B59" s="26" t="s">
        <v>63</v>
      </c>
      <c r="C59" s="25"/>
      <c r="D59" s="27">
        <v>23630</v>
      </c>
      <c r="F59" s="28">
        <v>30000</v>
      </c>
      <c r="H59" s="29">
        <v>25000</v>
      </c>
      <c r="J59" s="1" t="s">
        <v>101</v>
      </c>
    </row>
    <row r="60" spans="1:10" x14ac:dyDescent="0.25">
      <c r="A60" s="25">
        <v>5050</v>
      </c>
      <c r="B60" s="26" t="s">
        <v>64</v>
      </c>
      <c r="C60" s="25"/>
      <c r="D60" s="27">
        <v>4094</v>
      </c>
      <c r="F60" s="28">
        <v>2000</v>
      </c>
      <c r="H60" s="29">
        <v>2000</v>
      </c>
      <c r="J60" s="1" t="s">
        <v>101</v>
      </c>
    </row>
    <row r="61" spans="1:10" x14ac:dyDescent="0.25">
      <c r="A61" s="25">
        <v>5060</v>
      </c>
      <c r="B61" s="26" t="s">
        <v>65</v>
      </c>
      <c r="C61" s="25"/>
      <c r="D61" s="27">
        <v>3679</v>
      </c>
      <c r="F61" s="28">
        <v>3000</v>
      </c>
      <c r="H61" s="29">
        <v>3500</v>
      </c>
      <c r="J61" s="1" t="s">
        <v>101</v>
      </c>
    </row>
    <row r="62" spans="1:10" x14ac:dyDescent="0.25">
      <c r="A62" s="25">
        <v>5070</v>
      </c>
      <c r="B62" s="26" t="s">
        <v>66</v>
      </c>
      <c r="C62" s="25"/>
      <c r="D62" s="27">
        <v>0</v>
      </c>
      <c r="F62" s="28">
        <v>3000</v>
      </c>
      <c r="H62" s="29">
        <v>3000</v>
      </c>
      <c r="J62" s="1" t="s">
        <v>101</v>
      </c>
    </row>
    <row r="63" spans="1:10" x14ac:dyDescent="0.25">
      <c r="A63" s="25"/>
      <c r="B63" s="26" t="s">
        <v>67</v>
      </c>
      <c r="C63" s="25"/>
      <c r="D63" s="27"/>
      <c r="F63" s="28"/>
      <c r="H63" s="29">
        <v>22600</v>
      </c>
      <c r="J63" s="1" t="s">
        <v>101</v>
      </c>
    </row>
    <row r="64" spans="1:10" x14ac:dyDescent="0.25">
      <c r="A64" s="25">
        <v>5071</v>
      </c>
      <c r="B64" s="26" t="s">
        <v>68</v>
      </c>
      <c r="C64" s="25"/>
      <c r="D64" s="27">
        <v>19101</v>
      </c>
      <c r="F64" s="28">
        <v>24000</v>
      </c>
      <c r="H64" s="29">
        <v>22000</v>
      </c>
      <c r="J64" s="1" t="s">
        <v>101</v>
      </c>
    </row>
    <row r="65" spans="1:10" x14ac:dyDescent="0.25">
      <c r="A65" s="25">
        <v>5090</v>
      </c>
      <c r="B65" s="26" t="s">
        <v>69</v>
      </c>
      <c r="C65" s="25"/>
      <c r="D65" s="27">
        <v>135</v>
      </c>
      <c r="F65" s="28"/>
      <c r="H65" s="29">
        <v>300</v>
      </c>
      <c r="J65" s="1" t="s">
        <v>103</v>
      </c>
    </row>
    <row r="66" spans="1:10" x14ac:dyDescent="0.25">
      <c r="A66" s="25">
        <v>5210</v>
      </c>
      <c r="B66" s="26" t="s">
        <v>70</v>
      </c>
      <c r="C66" s="25"/>
      <c r="D66" s="27">
        <v>1450</v>
      </c>
      <c r="F66" s="28">
        <v>7000</v>
      </c>
      <c r="H66" s="29">
        <v>7500</v>
      </c>
      <c r="J66" s="1" t="s">
        <v>100</v>
      </c>
    </row>
    <row r="67" spans="1:10" x14ac:dyDescent="0.25">
      <c r="A67" s="25">
        <v>5410</v>
      </c>
      <c r="B67" s="26" t="s">
        <v>71</v>
      </c>
      <c r="C67" s="25"/>
      <c r="D67" s="27">
        <v>781</v>
      </c>
      <c r="F67" s="28">
        <v>500</v>
      </c>
      <c r="H67" s="29"/>
      <c r="J67" s="1" t="s">
        <v>100</v>
      </c>
    </row>
    <row r="68" spans="1:10" x14ac:dyDescent="0.25">
      <c r="A68" s="25">
        <v>5460</v>
      </c>
      <c r="B68" s="26" t="s">
        <v>72</v>
      </c>
      <c r="C68" s="25"/>
      <c r="D68" s="27"/>
      <c r="F68" s="28">
        <v>500</v>
      </c>
      <c r="H68" s="29">
        <v>1000</v>
      </c>
      <c r="J68" s="1" t="s">
        <v>100</v>
      </c>
    </row>
    <row r="69" spans="1:10" x14ac:dyDescent="0.25">
      <c r="A69" s="25">
        <v>5910</v>
      </c>
      <c r="B69" s="26" t="s">
        <v>73</v>
      </c>
      <c r="C69" s="25"/>
      <c r="D69" s="27">
        <v>0</v>
      </c>
      <c r="F69" s="28"/>
      <c r="G69" s="38"/>
      <c r="H69" s="29"/>
      <c r="J69" s="1" t="s">
        <v>103</v>
      </c>
    </row>
    <row r="70" spans="1:10" x14ac:dyDescent="0.25">
      <c r="A70" s="25">
        <v>5950</v>
      </c>
      <c r="B70" s="26" t="s">
        <v>74</v>
      </c>
      <c r="C70" s="25"/>
      <c r="D70" s="27"/>
      <c r="F70" s="28">
        <v>4000</v>
      </c>
      <c r="G70" s="38"/>
      <c r="H70" s="29">
        <v>3000</v>
      </c>
      <c r="J70" s="1" t="s">
        <v>103</v>
      </c>
    </row>
    <row r="71" spans="1:10" x14ac:dyDescent="0.25">
      <c r="A71" s="25">
        <v>5975</v>
      </c>
      <c r="B71" s="26" t="s">
        <v>75</v>
      </c>
      <c r="C71" s="25"/>
      <c r="D71" s="27">
        <v>2781</v>
      </c>
      <c r="F71" s="28"/>
      <c r="G71" s="38"/>
      <c r="H71" s="29"/>
      <c r="J71" s="1" t="s">
        <v>103</v>
      </c>
    </row>
    <row r="72" spans="1:10" x14ac:dyDescent="0.25">
      <c r="A72" s="25">
        <v>6072</v>
      </c>
      <c r="B72" s="26" t="s">
        <v>76</v>
      </c>
      <c r="C72" s="25"/>
      <c r="D72" s="27">
        <v>3502</v>
      </c>
      <c r="F72" s="28">
        <v>3200</v>
      </c>
      <c r="H72" s="29">
        <v>3500</v>
      </c>
      <c r="J72" s="1" t="s">
        <v>104</v>
      </c>
    </row>
    <row r="73" spans="1:10" x14ac:dyDescent="0.25">
      <c r="A73" s="25">
        <v>6110</v>
      </c>
      <c r="B73" s="26" t="s">
        <v>77</v>
      </c>
      <c r="C73" s="25"/>
      <c r="D73" s="27">
        <v>804</v>
      </c>
      <c r="F73" s="28">
        <v>500</v>
      </c>
      <c r="H73" s="29">
        <v>1000</v>
      </c>
      <c r="J73" s="1" t="s">
        <v>100</v>
      </c>
    </row>
    <row r="74" spans="1:10" x14ac:dyDescent="0.25">
      <c r="A74" s="25">
        <v>6230</v>
      </c>
      <c r="B74" s="26" t="s">
        <v>78</v>
      </c>
      <c r="C74" s="25"/>
      <c r="D74" s="27">
        <v>1788</v>
      </c>
      <c r="F74" s="28">
        <v>2500</v>
      </c>
      <c r="H74" s="29">
        <v>2000</v>
      </c>
      <c r="J74" s="1" t="s">
        <v>100</v>
      </c>
    </row>
    <row r="75" spans="1:10" x14ac:dyDescent="0.25">
      <c r="A75" s="25">
        <v>6250</v>
      </c>
      <c r="B75" s="26" t="s">
        <v>79</v>
      </c>
      <c r="C75" s="25"/>
      <c r="D75" s="27">
        <v>220</v>
      </c>
      <c r="F75" s="28">
        <v>200</v>
      </c>
      <c r="H75" s="29">
        <v>200</v>
      </c>
      <c r="J75" s="1" t="s">
        <v>100</v>
      </c>
    </row>
    <row r="76" spans="1:10" x14ac:dyDescent="0.25">
      <c r="A76" s="25">
        <v>6310</v>
      </c>
      <c r="B76" s="26" t="s">
        <v>80</v>
      </c>
      <c r="C76" s="25"/>
      <c r="D76" s="27">
        <v>5911</v>
      </c>
      <c r="F76" s="28">
        <v>6200</v>
      </c>
      <c r="H76" s="29">
        <v>6000</v>
      </c>
      <c r="J76" s="1" t="s">
        <v>101</v>
      </c>
    </row>
    <row r="77" spans="1:10" x14ac:dyDescent="0.25">
      <c r="A77" s="25">
        <v>6311</v>
      </c>
      <c r="B77" s="26" t="s">
        <v>81</v>
      </c>
      <c r="C77" s="25"/>
      <c r="D77" s="27">
        <v>0</v>
      </c>
      <c r="F77" s="28">
        <v>1600</v>
      </c>
      <c r="H77" s="29">
        <v>1600</v>
      </c>
      <c r="J77" s="1" t="s">
        <v>102</v>
      </c>
    </row>
    <row r="78" spans="1:10" x14ac:dyDescent="0.25">
      <c r="A78" s="25">
        <v>6540</v>
      </c>
      <c r="B78" s="26" t="s">
        <v>82</v>
      </c>
      <c r="C78" s="25"/>
      <c r="D78" s="27">
        <v>695</v>
      </c>
      <c r="F78" s="28">
        <v>200</v>
      </c>
      <c r="H78" s="29">
        <v>700</v>
      </c>
      <c r="J78" s="1" t="s">
        <v>100</v>
      </c>
    </row>
    <row r="79" spans="1:10" x14ac:dyDescent="0.25">
      <c r="A79" s="25">
        <v>6550</v>
      </c>
      <c r="B79" s="26" t="s">
        <v>83</v>
      </c>
      <c r="C79" s="25"/>
      <c r="D79" s="27">
        <v>2880.45</v>
      </c>
      <c r="F79" s="28">
        <v>3500</v>
      </c>
      <c r="H79" s="29">
        <v>0</v>
      </c>
      <c r="J79" s="1" t="s">
        <v>100</v>
      </c>
    </row>
    <row r="80" spans="1:10" x14ac:dyDescent="0.25">
      <c r="A80" s="25">
        <v>6551</v>
      </c>
      <c r="B80" s="26" t="s">
        <v>84</v>
      </c>
      <c r="C80" s="25"/>
      <c r="D80" s="27"/>
      <c r="F80" s="28">
        <v>500</v>
      </c>
      <c r="H80" s="29">
        <v>500</v>
      </c>
      <c r="J80" s="1" t="s">
        <v>103</v>
      </c>
    </row>
    <row r="81" spans="1:10" x14ac:dyDescent="0.25">
      <c r="A81" s="25">
        <v>6552</v>
      </c>
      <c r="B81" s="26" t="s">
        <v>85</v>
      </c>
      <c r="C81" s="25"/>
      <c r="D81" s="27">
        <v>0</v>
      </c>
      <c r="F81" s="28">
        <v>2000</v>
      </c>
      <c r="H81" s="29">
        <v>2000</v>
      </c>
      <c r="J81" s="1" t="s">
        <v>103</v>
      </c>
    </row>
    <row r="82" spans="1:10" x14ac:dyDescent="0.25">
      <c r="A82" s="25">
        <v>6553</v>
      </c>
      <c r="B82" s="26" t="s">
        <v>86</v>
      </c>
      <c r="C82" s="25"/>
      <c r="D82" s="27">
        <v>1202</v>
      </c>
      <c r="F82" s="28">
        <v>1000</v>
      </c>
      <c r="H82" s="29">
        <v>5000</v>
      </c>
      <c r="J82" s="1" t="s">
        <v>103</v>
      </c>
    </row>
    <row r="83" spans="1:10" x14ac:dyDescent="0.25">
      <c r="A83" s="25">
        <v>6554</v>
      </c>
      <c r="B83" s="26" t="s">
        <v>87</v>
      </c>
      <c r="C83" s="25"/>
      <c r="D83" s="27">
        <v>0</v>
      </c>
      <c r="F83" s="28"/>
      <c r="H83" s="29">
        <v>8000</v>
      </c>
      <c r="J83" s="1" t="s">
        <v>103</v>
      </c>
    </row>
    <row r="84" spans="1:10" x14ac:dyDescent="0.25">
      <c r="A84" s="25">
        <v>6555</v>
      </c>
      <c r="B84" s="26" t="s">
        <v>88</v>
      </c>
      <c r="C84" s="25"/>
      <c r="D84" s="27">
        <v>1472.35</v>
      </c>
      <c r="F84" s="28"/>
      <c r="H84" s="29">
        <v>4000</v>
      </c>
      <c r="J84" s="1" t="s">
        <v>103</v>
      </c>
    </row>
    <row r="85" spans="1:10" x14ac:dyDescent="0.25">
      <c r="A85" s="25"/>
      <c r="B85" s="26" t="s">
        <v>89</v>
      </c>
      <c r="C85" s="25"/>
      <c r="D85" s="27"/>
      <c r="F85" s="28">
        <v>6000</v>
      </c>
      <c r="H85" s="29">
        <v>3000</v>
      </c>
      <c r="J85" s="1" t="s">
        <v>103</v>
      </c>
    </row>
    <row r="86" spans="1:10" x14ac:dyDescent="0.25">
      <c r="A86" s="25">
        <v>6570</v>
      </c>
      <c r="B86" s="26" t="s">
        <v>90</v>
      </c>
      <c r="C86" s="25"/>
      <c r="D86" s="27">
        <v>1281</v>
      </c>
      <c r="F86" s="28">
        <v>1000</v>
      </c>
      <c r="H86" s="29">
        <v>1300</v>
      </c>
      <c r="J86" s="1" t="s">
        <v>100</v>
      </c>
    </row>
    <row r="87" spans="1:10" x14ac:dyDescent="0.25">
      <c r="A87" s="25">
        <v>6571</v>
      </c>
      <c r="B87" s="26" t="s">
        <v>91</v>
      </c>
      <c r="C87" s="25"/>
      <c r="D87" s="27">
        <v>1750</v>
      </c>
      <c r="F87" s="28"/>
      <c r="H87" s="29"/>
      <c r="J87" s="1" t="s">
        <v>100</v>
      </c>
    </row>
    <row r="88" spans="1:10" x14ac:dyDescent="0.25">
      <c r="A88" s="25">
        <v>6590</v>
      </c>
      <c r="B88" s="26" t="s">
        <v>92</v>
      </c>
      <c r="C88" s="25"/>
      <c r="D88" s="27"/>
      <c r="F88" s="28"/>
      <c r="H88" s="29"/>
      <c r="J88" s="1" t="s">
        <v>100</v>
      </c>
    </row>
    <row r="89" spans="1:10" x14ac:dyDescent="0.25">
      <c r="A89" s="25">
        <v>6993</v>
      </c>
      <c r="B89" s="26" t="s">
        <v>93</v>
      </c>
      <c r="C89" s="25"/>
      <c r="D89" s="27">
        <v>1399</v>
      </c>
      <c r="F89" s="28">
        <v>1000</v>
      </c>
      <c r="H89" s="29">
        <v>0</v>
      </c>
      <c r="J89" s="1" t="s">
        <v>100</v>
      </c>
    </row>
    <row r="90" spans="1:10" x14ac:dyDescent="0.25">
      <c r="A90" s="32"/>
      <c r="B90" s="22"/>
      <c r="C90" s="32"/>
      <c r="D90" s="33">
        <v>110891.8</v>
      </c>
      <c r="E90" s="37"/>
      <c r="F90" s="34">
        <v>120600</v>
      </c>
      <c r="G90" s="22"/>
      <c r="H90" s="35">
        <f>SUM(H57:H89)</f>
        <v>151200</v>
      </c>
    </row>
    <row r="91" spans="1:10" x14ac:dyDescent="0.25">
      <c r="A91" s="25">
        <v>7331</v>
      </c>
      <c r="B91" s="26" t="s">
        <v>94</v>
      </c>
      <c r="C91" s="25"/>
      <c r="D91" s="27">
        <v>3573.8</v>
      </c>
      <c r="F91" s="28">
        <v>5000</v>
      </c>
      <c r="H91" s="29">
        <v>3000</v>
      </c>
      <c r="J91" s="1" t="s">
        <v>100</v>
      </c>
    </row>
    <row r="92" spans="1:10" x14ac:dyDescent="0.25">
      <c r="A92" s="32"/>
      <c r="B92" s="22"/>
      <c r="C92" s="32"/>
      <c r="D92" s="33">
        <v>3573.8</v>
      </c>
      <c r="E92" s="37"/>
      <c r="F92" s="34">
        <v>5000</v>
      </c>
      <c r="G92" s="22"/>
      <c r="H92" s="35">
        <v>3000</v>
      </c>
    </row>
    <row r="93" spans="1:10" x14ac:dyDescent="0.25">
      <c r="A93" s="25">
        <v>7820</v>
      </c>
      <c r="B93" s="26" t="s">
        <v>95</v>
      </c>
      <c r="C93" s="25"/>
      <c r="D93" s="27">
        <v>11326</v>
      </c>
      <c r="F93" s="28">
        <v>11300</v>
      </c>
      <c r="H93" s="29">
        <v>11300</v>
      </c>
      <c r="J93" s="1" t="s">
        <v>101</v>
      </c>
    </row>
    <row r="94" spans="1:10" x14ac:dyDescent="0.25">
      <c r="A94" s="32"/>
      <c r="B94" s="22"/>
      <c r="C94" s="32"/>
      <c r="D94" s="33">
        <v>11326</v>
      </c>
      <c r="E94" s="37"/>
      <c r="F94" s="34">
        <v>11300</v>
      </c>
      <c r="G94" s="22"/>
      <c r="H94" s="35">
        <v>11300</v>
      </c>
    </row>
    <row r="95" spans="1:10" x14ac:dyDescent="0.25">
      <c r="A95" s="32"/>
      <c r="B95" s="22" t="s">
        <v>96</v>
      </c>
      <c r="C95" s="32"/>
      <c r="D95" s="33">
        <v>163138.04999999999</v>
      </c>
      <c r="F95" s="34">
        <v>299400</v>
      </c>
      <c r="H95" s="35">
        <f>H94+H92+H90+H56</f>
        <v>287600</v>
      </c>
    </row>
    <row r="96" spans="1:10" x14ac:dyDescent="0.25">
      <c r="A96" s="32"/>
      <c r="B96" s="22"/>
      <c r="C96" s="32"/>
      <c r="D96" s="27"/>
      <c r="F96" s="28"/>
      <c r="H96" s="29"/>
    </row>
    <row r="97" spans="1:8" x14ac:dyDescent="0.25">
      <c r="A97" s="25"/>
      <c r="B97" s="26" t="s">
        <v>97</v>
      </c>
      <c r="C97" s="25"/>
      <c r="D97" s="27">
        <v>-19229.950000000012</v>
      </c>
      <c r="F97" s="36">
        <v>-285</v>
      </c>
      <c r="H97" s="29">
        <f>H28+H95</f>
        <v>50750</v>
      </c>
    </row>
    <row r="98" spans="1:8" x14ac:dyDescent="0.25">
      <c r="A98" s="39"/>
      <c r="B98" s="40" t="s">
        <v>98</v>
      </c>
      <c r="C98" s="39"/>
      <c r="D98" s="41">
        <v>-19229.950000000012</v>
      </c>
      <c r="F98" s="42">
        <v>-285</v>
      </c>
      <c r="H98" s="43">
        <f>H97</f>
        <v>50750</v>
      </c>
    </row>
    <row r="99" spans="1:8" x14ac:dyDescent="0.25">
      <c r="A99" s="25"/>
      <c r="B99" s="26"/>
      <c r="C99" s="25"/>
      <c r="D99" s="27"/>
      <c r="F99" s="28"/>
      <c r="H99" s="44"/>
    </row>
    <row r="100" spans="1:8" x14ac:dyDescent="0.25">
      <c r="A100" s="25"/>
      <c r="B100" s="26"/>
      <c r="C100" s="25"/>
      <c r="D100" s="27"/>
      <c r="F100" s="28"/>
      <c r="H100" s="44"/>
    </row>
    <row r="101" spans="1:8" x14ac:dyDescent="0.25">
      <c r="A101" s="25"/>
      <c r="B101" s="26"/>
      <c r="C101" s="25"/>
      <c r="D101" s="45"/>
      <c r="F101" s="28"/>
      <c r="H101" s="44"/>
    </row>
    <row r="102" spans="1:8" x14ac:dyDescent="0.25">
      <c r="A102" s="25"/>
      <c r="B102" s="26"/>
      <c r="C102" s="25"/>
      <c r="F102" s="46"/>
    </row>
    <row r="103" spans="1:8" x14ac:dyDescent="0.25">
      <c r="A103" s="25"/>
      <c r="B103" s="26"/>
      <c r="C103" s="25"/>
      <c r="F103" s="46"/>
    </row>
    <row r="104" spans="1:8" x14ac:dyDescent="0.25">
      <c r="A104" s="25"/>
      <c r="B104" s="26"/>
      <c r="C104" s="25"/>
      <c r="F104" s="46"/>
    </row>
    <row r="105" spans="1:8" x14ac:dyDescent="0.25">
      <c r="A105" s="25"/>
      <c r="B105" s="26"/>
      <c r="C105" s="25"/>
      <c r="F105" s="46"/>
    </row>
    <row r="106" spans="1:8" x14ac:dyDescent="0.25">
      <c r="A106" s="25"/>
      <c r="B106" s="26"/>
      <c r="C106" s="25"/>
      <c r="F106" s="46"/>
    </row>
    <row r="107" spans="1:8" x14ac:dyDescent="0.25">
      <c r="A107" s="25"/>
      <c r="B107" s="26"/>
      <c r="C107" s="25"/>
      <c r="F107" s="46"/>
    </row>
    <row r="108" spans="1:8" x14ac:dyDescent="0.25">
      <c r="A108" s="25"/>
      <c r="B108" s="26"/>
      <c r="C108" s="25"/>
      <c r="F108" s="46"/>
    </row>
    <row r="109" spans="1:8" x14ac:dyDescent="0.25">
      <c r="B109" s="26"/>
      <c r="C109" s="25"/>
      <c r="F109" s="46"/>
    </row>
    <row r="110" spans="1:8" x14ac:dyDescent="0.25">
      <c r="B110" s="26"/>
      <c r="C110" s="25"/>
      <c r="F110" s="26"/>
    </row>
    <row r="111" spans="1:8" x14ac:dyDescent="0.25">
      <c r="B111" s="26"/>
      <c r="C111" s="25"/>
      <c r="F111" s="26"/>
    </row>
    <row r="112" spans="1:8" x14ac:dyDescent="0.25">
      <c r="B112" s="26"/>
      <c r="C112" s="25"/>
      <c r="F112" s="26"/>
    </row>
    <row r="113" spans="2:6" x14ac:dyDescent="0.25">
      <c r="B113" s="26"/>
      <c r="C113" s="25"/>
      <c r="F113" s="26"/>
    </row>
    <row r="114" spans="2:6" x14ac:dyDescent="0.25">
      <c r="B114" s="26"/>
      <c r="C114" s="25"/>
      <c r="F114" s="26"/>
    </row>
    <row r="115" spans="2:6" x14ac:dyDescent="0.25">
      <c r="B115" s="26"/>
      <c r="C115" s="25"/>
      <c r="F115" s="26"/>
    </row>
    <row r="116" spans="2:6" x14ac:dyDescent="0.25">
      <c r="B116" s="26"/>
      <c r="C116" s="25"/>
      <c r="F116" s="26"/>
    </row>
    <row r="117" spans="2:6" x14ac:dyDescent="0.25">
      <c r="B117" s="26"/>
      <c r="C117" s="25"/>
      <c r="F117" s="26"/>
    </row>
    <row r="118" spans="2:6" x14ac:dyDescent="0.25">
      <c r="B118" s="26"/>
      <c r="C118" s="25"/>
      <c r="F118" s="26"/>
    </row>
    <row r="119" spans="2:6" x14ac:dyDescent="0.25">
      <c r="B119" s="26"/>
      <c r="C119" s="25"/>
      <c r="F119" s="26"/>
    </row>
    <row r="120" spans="2:6" x14ac:dyDescent="0.25">
      <c r="B120" s="26"/>
      <c r="C120" s="25"/>
      <c r="F120" s="26"/>
    </row>
    <row r="121" spans="2:6" x14ac:dyDescent="0.25">
      <c r="B121" s="26"/>
      <c r="C121" s="25"/>
      <c r="F121" s="26"/>
    </row>
    <row r="122" spans="2:6" x14ac:dyDescent="0.25">
      <c r="B122" s="26"/>
      <c r="C122" s="25"/>
      <c r="F122" s="26"/>
    </row>
    <row r="123" spans="2:6" x14ac:dyDescent="0.25">
      <c r="B123" s="26"/>
      <c r="C123" s="25"/>
      <c r="F123" s="26"/>
    </row>
    <row r="124" spans="2:6" x14ac:dyDescent="0.25">
      <c r="B124" s="26"/>
      <c r="C124" s="25"/>
      <c r="F124" s="26"/>
    </row>
    <row r="125" spans="2:6" x14ac:dyDescent="0.25">
      <c r="B125" s="26"/>
      <c r="C125" s="25"/>
      <c r="F125" s="26"/>
    </row>
    <row r="126" spans="2:6" x14ac:dyDescent="0.25">
      <c r="B126" s="26"/>
      <c r="C126" s="25"/>
      <c r="F126" s="26"/>
    </row>
    <row r="127" spans="2:6" x14ac:dyDescent="0.25">
      <c r="B127" s="26"/>
      <c r="C127" s="25"/>
      <c r="F127" s="26"/>
    </row>
    <row r="128" spans="2:6" x14ac:dyDescent="0.25">
      <c r="B128" s="26"/>
      <c r="C128" s="25"/>
      <c r="F128" s="26"/>
    </row>
    <row r="129" spans="2:6" x14ac:dyDescent="0.25">
      <c r="B129" s="26"/>
      <c r="C129" s="25"/>
      <c r="F129" s="26"/>
    </row>
    <row r="130" spans="2:6" x14ac:dyDescent="0.25">
      <c r="B130" s="26"/>
      <c r="C130" s="25"/>
      <c r="F130" s="26"/>
    </row>
    <row r="131" spans="2:6" x14ac:dyDescent="0.25">
      <c r="B131" s="26"/>
      <c r="C131" s="25"/>
      <c r="F131" s="26"/>
    </row>
    <row r="132" spans="2:6" x14ac:dyDescent="0.25">
      <c r="B132" s="26"/>
      <c r="C132" s="25"/>
      <c r="F132" s="26"/>
    </row>
    <row r="133" spans="2:6" x14ac:dyDescent="0.25">
      <c r="B133" s="26"/>
      <c r="C133" s="25"/>
      <c r="F133" s="26"/>
    </row>
    <row r="134" spans="2:6" x14ac:dyDescent="0.25">
      <c r="B134" s="26"/>
      <c r="C134" s="25"/>
      <c r="F134" s="26"/>
    </row>
    <row r="135" spans="2:6" x14ac:dyDescent="0.25">
      <c r="B135" s="26"/>
      <c r="C135" s="25"/>
      <c r="F135" s="26"/>
    </row>
    <row r="136" spans="2:6" x14ac:dyDescent="0.25">
      <c r="B136" s="26"/>
      <c r="C136" s="25"/>
      <c r="F136" s="26"/>
    </row>
    <row r="137" spans="2:6" x14ac:dyDescent="0.25">
      <c r="B137" s="26"/>
      <c r="C137" s="25"/>
      <c r="F137" s="26"/>
    </row>
    <row r="138" spans="2:6" x14ac:dyDescent="0.25">
      <c r="B138" s="26"/>
      <c r="C138" s="25"/>
      <c r="F138" s="26"/>
    </row>
    <row r="139" spans="2:6" x14ac:dyDescent="0.25">
      <c r="B139" s="26"/>
      <c r="C139" s="25"/>
      <c r="F139" s="26"/>
    </row>
    <row r="140" spans="2:6" x14ac:dyDescent="0.25">
      <c r="B140" s="26"/>
      <c r="C140" s="25"/>
      <c r="F140" s="26"/>
    </row>
    <row r="141" spans="2:6" x14ac:dyDescent="0.25">
      <c r="B141" s="26"/>
      <c r="C141" s="25"/>
      <c r="F141" s="26"/>
    </row>
    <row r="142" spans="2:6" x14ac:dyDescent="0.25">
      <c r="B142" s="26"/>
      <c r="C142" s="25"/>
      <c r="F142" s="26"/>
    </row>
    <row r="143" spans="2:6" x14ac:dyDescent="0.25">
      <c r="B143" s="26"/>
      <c r="C143" s="25"/>
      <c r="F143" s="26"/>
    </row>
    <row r="144" spans="2:6" x14ac:dyDescent="0.25">
      <c r="B144" s="26"/>
      <c r="C144" s="25"/>
      <c r="F144" s="26"/>
    </row>
    <row r="145" spans="2:6" x14ac:dyDescent="0.25">
      <c r="B145" s="26"/>
      <c r="C145" s="25"/>
      <c r="F145" s="26"/>
    </row>
    <row r="146" spans="2:6" x14ac:dyDescent="0.25">
      <c r="B146" s="26"/>
      <c r="C146" s="25"/>
      <c r="F146" s="26"/>
    </row>
    <row r="147" spans="2:6" x14ac:dyDescent="0.25">
      <c r="B147" s="26"/>
      <c r="C147" s="25"/>
      <c r="F147" s="26"/>
    </row>
    <row r="148" spans="2:6" x14ac:dyDescent="0.25">
      <c r="B148" s="26"/>
      <c r="C148" s="25"/>
      <c r="F148" s="26"/>
    </row>
    <row r="149" spans="2:6" x14ac:dyDescent="0.25">
      <c r="B149" s="26"/>
      <c r="C149" s="25"/>
      <c r="F149" s="26"/>
    </row>
    <row r="150" spans="2:6" x14ac:dyDescent="0.25">
      <c r="B150" s="26"/>
      <c r="C150" s="25"/>
      <c r="F150" s="26"/>
    </row>
    <row r="151" spans="2:6" x14ac:dyDescent="0.25">
      <c r="B151" s="26"/>
      <c r="C151" s="25"/>
      <c r="F151" s="26"/>
    </row>
    <row r="152" spans="2:6" x14ac:dyDescent="0.25">
      <c r="B152" s="26"/>
      <c r="C152" s="25"/>
      <c r="F152" s="26"/>
    </row>
    <row r="153" spans="2:6" x14ac:dyDescent="0.25">
      <c r="F153" s="26"/>
    </row>
    <row r="154" spans="2:6" x14ac:dyDescent="0.25">
      <c r="F154" s="26"/>
    </row>
    <row r="155" spans="2:6" x14ac:dyDescent="0.25">
      <c r="F155" s="26"/>
    </row>
    <row r="156" spans="2:6" x14ac:dyDescent="0.25">
      <c r="F156" s="26"/>
    </row>
    <row r="157" spans="2:6" x14ac:dyDescent="0.25">
      <c r="F157" s="26"/>
    </row>
    <row r="158" spans="2:6" x14ac:dyDescent="0.25">
      <c r="F158" s="26"/>
    </row>
    <row r="159" spans="2:6" x14ac:dyDescent="0.25">
      <c r="F159" s="26"/>
    </row>
    <row r="160" spans="2:6" x14ac:dyDescent="0.25">
      <c r="F160" s="26"/>
    </row>
    <row r="161" spans="6:6" x14ac:dyDescent="0.25">
      <c r="F161" s="26"/>
    </row>
    <row r="162" spans="6:6" x14ac:dyDescent="0.25">
      <c r="F162" s="26"/>
    </row>
    <row r="163" spans="6:6" x14ac:dyDescent="0.25">
      <c r="F163" s="26"/>
    </row>
    <row r="164" spans="6:6" x14ac:dyDescent="0.25">
      <c r="F164" s="26"/>
    </row>
    <row r="165" spans="6:6" x14ac:dyDescent="0.25">
      <c r="F165" s="26"/>
    </row>
    <row r="166" spans="6:6" x14ac:dyDescent="0.25">
      <c r="F166" s="26"/>
    </row>
    <row r="167" spans="6:6" x14ac:dyDescent="0.25">
      <c r="F167" s="26"/>
    </row>
    <row r="168" spans="6:6" x14ac:dyDescent="0.25">
      <c r="F168" s="26"/>
    </row>
    <row r="169" spans="6:6" x14ac:dyDescent="0.25">
      <c r="F169" s="26"/>
    </row>
    <row r="170" spans="6:6" x14ac:dyDescent="0.25">
      <c r="F170" s="26"/>
    </row>
    <row r="171" spans="6:6" x14ac:dyDescent="0.25">
      <c r="F171" s="26"/>
    </row>
    <row r="172" spans="6:6" x14ac:dyDescent="0.25">
      <c r="F172" s="26"/>
    </row>
    <row r="173" spans="6:6" x14ac:dyDescent="0.25">
      <c r="F173" s="26"/>
    </row>
    <row r="174" spans="6:6" x14ac:dyDescent="0.25">
      <c r="F174" s="26"/>
    </row>
    <row r="175" spans="6:6" x14ac:dyDescent="0.25">
      <c r="F175" s="26"/>
    </row>
    <row r="176" spans="6:6" x14ac:dyDescent="0.25">
      <c r="F176" s="26"/>
    </row>
    <row r="177" spans="6:6" x14ac:dyDescent="0.25">
      <c r="F177" s="26"/>
    </row>
    <row r="178" spans="6:6" x14ac:dyDescent="0.25">
      <c r="F178" s="26"/>
    </row>
    <row r="179" spans="6:6" x14ac:dyDescent="0.25">
      <c r="F179" s="26"/>
    </row>
    <row r="180" spans="6:6" x14ac:dyDescent="0.25">
      <c r="F180" s="26"/>
    </row>
    <row r="181" spans="6:6" x14ac:dyDescent="0.25">
      <c r="F181" s="26"/>
    </row>
    <row r="182" spans="6:6" x14ac:dyDescent="0.25">
      <c r="F182" s="26"/>
    </row>
    <row r="183" spans="6:6" x14ac:dyDescent="0.25">
      <c r="F183" s="26"/>
    </row>
    <row r="184" spans="6:6" x14ac:dyDescent="0.25">
      <c r="F184" s="26"/>
    </row>
    <row r="185" spans="6:6" x14ac:dyDescent="0.25">
      <c r="F185" s="26"/>
    </row>
    <row r="186" spans="6:6" x14ac:dyDescent="0.25">
      <c r="F186" s="26"/>
    </row>
    <row r="187" spans="6:6" x14ac:dyDescent="0.25">
      <c r="F187" s="26"/>
    </row>
    <row r="188" spans="6:6" x14ac:dyDescent="0.25">
      <c r="F188" s="26"/>
    </row>
    <row r="189" spans="6:6" x14ac:dyDescent="0.25">
      <c r="F189" s="26"/>
    </row>
    <row r="190" spans="6:6" x14ac:dyDescent="0.25">
      <c r="F190" s="26"/>
    </row>
    <row r="191" spans="6:6" x14ac:dyDescent="0.25">
      <c r="F191" s="26"/>
    </row>
    <row r="192" spans="6:6" x14ac:dyDescent="0.25">
      <c r="F192" s="26"/>
    </row>
    <row r="193" spans="6:6" x14ac:dyDescent="0.25">
      <c r="F193" s="26"/>
    </row>
    <row r="194" spans="6:6" x14ac:dyDescent="0.25">
      <c r="F194" s="26"/>
    </row>
    <row r="195" spans="6:6" x14ac:dyDescent="0.25">
      <c r="F195" s="26"/>
    </row>
    <row r="196" spans="6:6" x14ac:dyDescent="0.25">
      <c r="F196" s="26"/>
    </row>
    <row r="197" spans="6:6" x14ac:dyDescent="0.25">
      <c r="F197" s="26"/>
    </row>
    <row r="198" spans="6:6" x14ac:dyDescent="0.25">
      <c r="F198" s="26"/>
    </row>
    <row r="199" spans="6:6" x14ac:dyDescent="0.25">
      <c r="F199" s="26"/>
    </row>
    <row r="200" spans="6:6" x14ac:dyDescent="0.25">
      <c r="F200" s="26"/>
    </row>
    <row r="201" spans="6:6" x14ac:dyDescent="0.25">
      <c r="F201" s="26"/>
    </row>
    <row r="202" spans="6:6" x14ac:dyDescent="0.25">
      <c r="F202" s="26"/>
    </row>
    <row r="203" spans="6:6" x14ac:dyDescent="0.25">
      <c r="F203" s="26"/>
    </row>
    <row r="204" spans="6:6" x14ac:dyDescent="0.25">
      <c r="F204" s="26"/>
    </row>
    <row r="205" spans="6:6" x14ac:dyDescent="0.25">
      <c r="F205" s="26"/>
    </row>
    <row r="206" spans="6:6" x14ac:dyDescent="0.25">
      <c r="F206" s="26"/>
    </row>
    <row r="207" spans="6:6" x14ac:dyDescent="0.25">
      <c r="F207" s="26"/>
    </row>
    <row r="208" spans="6:6" x14ac:dyDescent="0.25">
      <c r="F208" s="26"/>
    </row>
    <row r="209" spans="6:6" x14ac:dyDescent="0.25">
      <c r="F209" s="26"/>
    </row>
    <row r="210" spans="6:6" x14ac:dyDescent="0.25">
      <c r="F210" s="26"/>
    </row>
    <row r="211" spans="6:6" x14ac:dyDescent="0.25">
      <c r="F211" s="26"/>
    </row>
    <row r="212" spans="6:6" x14ac:dyDescent="0.25">
      <c r="F212" s="26"/>
    </row>
    <row r="213" spans="6:6" x14ac:dyDescent="0.25">
      <c r="F213" s="26"/>
    </row>
    <row r="214" spans="6:6" x14ac:dyDescent="0.25">
      <c r="F214" s="26"/>
    </row>
    <row r="215" spans="6:6" x14ac:dyDescent="0.25">
      <c r="F215" s="26"/>
    </row>
    <row r="216" spans="6:6" x14ac:dyDescent="0.25">
      <c r="F216" s="26"/>
    </row>
    <row r="217" spans="6:6" x14ac:dyDescent="0.25">
      <c r="F217" s="26"/>
    </row>
    <row r="218" spans="6:6" x14ac:dyDescent="0.25">
      <c r="F218" s="26"/>
    </row>
    <row r="219" spans="6:6" x14ac:dyDescent="0.25">
      <c r="F219" s="26"/>
    </row>
    <row r="220" spans="6:6" x14ac:dyDescent="0.25">
      <c r="F220" s="26"/>
    </row>
    <row r="221" spans="6:6" x14ac:dyDescent="0.25">
      <c r="F221" s="26"/>
    </row>
    <row r="222" spans="6:6" x14ac:dyDescent="0.25">
      <c r="F222" s="26"/>
    </row>
    <row r="223" spans="6:6" x14ac:dyDescent="0.25">
      <c r="F223" s="26"/>
    </row>
    <row r="224" spans="6:6" x14ac:dyDescent="0.25">
      <c r="F224" s="26"/>
    </row>
    <row r="225" spans="6:6" x14ac:dyDescent="0.25">
      <c r="F225" s="26"/>
    </row>
    <row r="226" spans="6:6" x14ac:dyDescent="0.25">
      <c r="F226" s="26"/>
    </row>
    <row r="227" spans="6:6" x14ac:dyDescent="0.25">
      <c r="F227" s="26"/>
    </row>
    <row r="228" spans="6:6" x14ac:dyDescent="0.25">
      <c r="F228" s="26"/>
    </row>
    <row r="229" spans="6:6" x14ac:dyDescent="0.25">
      <c r="F229" s="26"/>
    </row>
    <row r="230" spans="6:6" x14ac:dyDescent="0.25">
      <c r="F230" s="26"/>
    </row>
    <row r="231" spans="6:6" x14ac:dyDescent="0.25">
      <c r="F231" s="26"/>
    </row>
    <row r="232" spans="6:6" x14ac:dyDescent="0.25">
      <c r="F232" s="26"/>
    </row>
    <row r="233" spans="6:6" x14ac:dyDescent="0.25">
      <c r="F233" s="26"/>
    </row>
    <row r="234" spans="6:6" x14ac:dyDescent="0.25">
      <c r="F234" s="26"/>
    </row>
    <row r="235" spans="6:6" x14ac:dyDescent="0.25">
      <c r="F235" s="26"/>
    </row>
    <row r="236" spans="6:6" x14ac:dyDescent="0.25">
      <c r="F236" s="26"/>
    </row>
    <row r="237" spans="6:6" x14ac:dyDescent="0.25">
      <c r="F237" s="26"/>
    </row>
    <row r="238" spans="6:6" x14ac:dyDescent="0.25">
      <c r="F238" s="26"/>
    </row>
    <row r="239" spans="6:6" x14ac:dyDescent="0.25">
      <c r="F239" s="26"/>
    </row>
    <row r="240" spans="6:6" x14ac:dyDescent="0.25">
      <c r="F240" s="26"/>
    </row>
    <row r="241" spans="6:6" x14ac:dyDescent="0.25">
      <c r="F241" s="26"/>
    </row>
    <row r="242" spans="6:6" x14ac:dyDescent="0.25">
      <c r="F242" s="26"/>
    </row>
    <row r="243" spans="6:6" x14ac:dyDescent="0.25">
      <c r="F243" s="26"/>
    </row>
    <row r="244" spans="6:6" x14ac:dyDescent="0.25">
      <c r="F244" s="26"/>
    </row>
    <row r="245" spans="6:6" x14ac:dyDescent="0.25">
      <c r="F245" s="26"/>
    </row>
    <row r="246" spans="6:6" x14ac:dyDescent="0.25">
      <c r="F246" s="26"/>
    </row>
    <row r="247" spans="6:6" x14ac:dyDescent="0.25">
      <c r="F247" s="26"/>
    </row>
    <row r="248" spans="6:6" x14ac:dyDescent="0.25">
      <c r="F248" s="26"/>
    </row>
    <row r="249" spans="6:6" x14ac:dyDescent="0.25">
      <c r="F249" s="26"/>
    </row>
    <row r="250" spans="6:6" x14ac:dyDescent="0.25">
      <c r="F250" s="26"/>
    </row>
    <row r="251" spans="6:6" x14ac:dyDescent="0.25">
      <c r="F251" s="26"/>
    </row>
    <row r="252" spans="6:6" x14ac:dyDescent="0.25">
      <c r="F252" s="26"/>
    </row>
    <row r="253" spans="6:6" x14ac:dyDescent="0.25">
      <c r="F253" s="26"/>
    </row>
    <row r="254" spans="6:6" x14ac:dyDescent="0.25">
      <c r="F254" s="26"/>
    </row>
    <row r="255" spans="6:6" x14ac:dyDescent="0.25">
      <c r="F255" s="26"/>
    </row>
    <row r="256" spans="6:6" x14ac:dyDescent="0.25">
      <c r="F256" s="26"/>
    </row>
    <row r="257" spans="6:6" x14ac:dyDescent="0.25">
      <c r="F257" s="26"/>
    </row>
    <row r="258" spans="6:6" x14ac:dyDescent="0.25">
      <c r="F258" s="26"/>
    </row>
    <row r="259" spans="6:6" x14ac:dyDescent="0.25">
      <c r="F259" s="26"/>
    </row>
    <row r="260" spans="6:6" x14ac:dyDescent="0.25">
      <c r="F260" s="26"/>
    </row>
    <row r="261" spans="6:6" x14ac:dyDescent="0.25">
      <c r="F261" s="26"/>
    </row>
    <row r="262" spans="6:6" x14ac:dyDescent="0.25">
      <c r="F262" s="26"/>
    </row>
    <row r="263" spans="6:6" x14ac:dyDescent="0.25">
      <c r="F263" s="26"/>
    </row>
    <row r="264" spans="6:6" x14ac:dyDescent="0.25">
      <c r="F264" s="26"/>
    </row>
    <row r="265" spans="6:6" x14ac:dyDescent="0.25">
      <c r="F265" s="26"/>
    </row>
    <row r="266" spans="6:6" x14ac:dyDescent="0.25">
      <c r="F266" s="26"/>
    </row>
    <row r="267" spans="6:6" x14ac:dyDescent="0.25">
      <c r="F267" s="26"/>
    </row>
    <row r="268" spans="6:6" x14ac:dyDescent="0.25">
      <c r="F268" s="26"/>
    </row>
    <row r="269" spans="6:6" x14ac:dyDescent="0.25">
      <c r="F269" s="26"/>
    </row>
    <row r="270" spans="6:6" x14ac:dyDescent="0.25">
      <c r="F270" s="26"/>
    </row>
    <row r="271" spans="6:6" x14ac:dyDescent="0.25">
      <c r="F271" s="26"/>
    </row>
    <row r="272" spans="6:6" x14ac:dyDescent="0.25">
      <c r="F272" s="26"/>
    </row>
    <row r="273" spans="6:6" x14ac:dyDescent="0.25">
      <c r="F273" s="26"/>
    </row>
    <row r="274" spans="6:6" x14ac:dyDescent="0.25">
      <c r="F274" s="26"/>
    </row>
    <row r="275" spans="6:6" x14ac:dyDescent="0.25">
      <c r="F275" s="26"/>
    </row>
    <row r="276" spans="6:6" x14ac:dyDescent="0.25">
      <c r="F276" s="26"/>
    </row>
    <row r="277" spans="6:6" x14ac:dyDescent="0.25">
      <c r="F277" s="26"/>
    </row>
    <row r="278" spans="6:6" x14ac:dyDescent="0.25">
      <c r="F278" s="26"/>
    </row>
    <row r="279" spans="6:6" x14ac:dyDescent="0.25">
      <c r="F279" s="26"/>
    </row>
    <row r="280" spans="6:6" x14ac:dyDescent="0.25">
      <c r="F280" s="26"/>
    </row>
    <row r="281" spans="6:6" x14ac:dyDescent="0.25">
      <c r="F281" s="26"/>
    </row>
    <row r="282" spans="6:6" x14ac:dyDescent="0.25">
      <c r="F282" s="26"/>
    </row>
    <row r="283" spans="6:6" x14ac:dyDescent="0.25">
      <c r="F283" s="26"/>
    </row>
    <row r="284" spans="6:6" x14ac:dyDescent="0.25">
      <c r="F284" s="26"/>
    </row>
    <row r="285" spans="6:6" x14ac:dyDescent="0.25">
      <c r="F285" s="26"/>
    </row>
    <row r="286" spans="6:6" x14ac:dyDescent="0.25">
      <c r="F286" s="26"/>
    </row>
    <row r="287" spans="6:6" x14ac:dyDescent="0.25">
      <c r="F287" s="26"/>
    </row>
    <row r="288" spans="6:6" x14ac:dyDescent="0.25">
      <c r="F288" s="26"/>
    </row>
    <row r="289" spans="6:6" x14ac:dyDescent="0.25">
      <c r="F289" s="26"/>
    </row>
    <row r="290" spans="6:6" x14ac:dyDescent="0.25">
      <c r="F290" s="26"/>
    </row>
    <row r="291" spans="6:6" x14ac:dyDescent="0.25">
      <c r="F291" s="26"/>
    </row>
    <row r="292" spans="6:6" x14ac:dyDescent="0.25">
      <c r="F292" s="26"/>
    </row>
    <row r="293" spans="6:6" x14ac:dyDescent="0.25">
      <c r="F293" s="26"/>
    </row>
    <row r="294" spans="6:6" x14ac:dyDescent="0.25">
      <c r="F294" s="26"/>
    </row>
    <row r="295" spans="6:6" x14ac:dyDescent="0.25">
      <c r="F295" s="26"/>
    </row>
    <row r="296" spans="6:6" x14ac:dyDescent="0.25">
      <c r="F296" s="26"/>
    </row>
    <row r="297" spans="6:6" x14ac:dyDescent="0.25">
      <c r="F297" s="26"/>
    </row>
    <row r="298" spans="6:6" x14ac:dyDescent="0.25">
      <c r="F298" s="26"/>
    </row>
    <row r="299" spans="6:6" x14ac:dyDescent="0.25">
      <c r="F299" s="26"/>
    </row>
    <row r="300" spans="6:6" x14ac:dyDescent="0.25">
      <c r="F300" s="26"/>
    </row>
    <row r="301" spans="6:6" x14ac:dyDescent="0.25">
      <c r="F301" s="26"/>
    </row>
    <row r="302" spans="6:6" x14ac:dyDescent="0.25">
      <c r="F302" s="26"/>
    </row>
    <row r="303" spans="6:6" x14ac:dyDescent="0.25">
      <c r="F303" s="26"/>
    </row>
    <row r="304" spans="6:6" x14ac:dyDescent="0.25">
      <c r="F304" s="26"/>
    </row>
    <row r="305" spans="6:6" x14ac:dyDescent="0.25">
      <c r="F305" s="26"/>
    </row>
    <row r="306" spans="6:6" x14ac:dyDescent="0.25">
      <c r="F306" s="26"/>
    </row>
    <row r="307" spans="6:6" x14ac:dyDescent="0.25">
      <c r="F307" s="26"/>
    </row>
    <row r="308" spans="6:6" x14ac:dyDescent="0.25">
      <c r="F308" s="26"/>
    </row>
    <row r="309" spans="6:6" x14ac:dyDescent="0.25">
      <c r="F309" s="26"/>
    </row>
    <row r="310" spans="6:6" x14ac:dyDescent="0.25">
      <c r="F310" s="26"/>
    </row>
    <row r="311" spans="6:6" x14ac:dyDescent="0.25">
      <c r="F311" s="26"/>
    </row>
    <row r="312" spans="6:6" x14ac:dyDescent="0.25">
      <c r="F312" s="26"/>
    </row>
    <row r="313" spans="6:6" x14ac:dyDescent="0.25">
      <c r="F313" s="26"/>
    </row>
    <row r="314" spans="6:6" x14ac:dyDescent="0.25">
      <c r="F314" s="26"/>
    </row>
    <row r="315" spans="6:6" x14ac:dyDescent="0.25">
      <c r="F315" s="26"/>
    </row>
    <row r="316" spans="6:6" x14ac:dyDescent="0.25">
      <c r="F316" s="26"/>
    </row>
    <row r="317" spans="6:6" x14ac:dyDescent="0.25">
      <c r="F317" s="26"/>
    </row>
    <row r="318" spans="6:6" x14ac:dyDescent="0.25">
      <c r="F318" s="26"/>
    </row>
    <row r="319" spans="6:6" x14ac:dyDescent="0.25">
      <c r="F319" s="26"/>
    </row>
    <row r="320" spans="6:6" x14ac:dyDescent="0.25">
      <c r="F320" s="26"/>
    </row>
    <row r="321" spans="6:6" x14ac:dyDescent="0.25">
      <c r="F321" s="26"/>
    </row>
    <row r="322" spans="6:6" x14ac:dyDescent="0.25">
      <c r="F322" s="26"/>
    </row>
    <row r="323" spans="6:6" x14ac:dyDescent="0.25">
      <c r="F323" s="26"/>
    </row>
    <row r="324" spans="6:6" x14ac:dyDescent="0.25">
      <c r="F324" s="26"/>
    </row>
    <row r="325" spans="6:6" x14ac:dyDescent="0.25">
      <c r="F325" s="26"/>
    </row>
    <row r="326" spans="6:6" x14ac:dyDescent="0.25">
      <c r="F326" s="26"/>
    </row>
    <row r="327" spans="6:6" x14ac:dyDescent="0.25">
      <c r="F327" s="26"/>
    </row>
    <row r="328" spans="6:6" x14ac:dyDescent="0.25">
      <c r="F328" s="26"/>
    </row>
    <row r="329" spans="6:6" x14ac:dyDescent="0.25">
      <c r="F329" s="26"/>
    </row>
    <row r="330" spans="6:6" x14ac:dyDescent="0.25">
      <c r="F330" s="26"/>
    </row>
    <row r="331" spans="6:6" x14ac:dyDescent="0.25">
      <c r="F331" s="26"/>
    </row>
    <row r="332" spans="6:6" x14ac:dyDescent="0.25">
      <c r="F332" s="26"/>
    </row>
    <row r="333" spans="6:6" x14ac:dyDescent="0.25">
      <c r="F333" s="26"/>
    </row>
    <row r="334" spans="6:6" x14ac:dyDescent="0.25">
      <c r="F334" s="26"/>
    </row>
    <row r="335" spans="6:6" x14ac:dyDescent="0.25">
      <c r="F335" s="26"/>
    </row>
    <row r="336" spans="6:6" x14ac:dyDescent="0.25">
      <c r="F336" s="26"/>
    </row>
    <row r="337" spans="6:6" x14ac:dyDescent="0.25">
      <c r="F337" s="26"/>
    </row>
    <row r="338" spans="6:6" x14ac:dyDescent="0.25">
      <c r="F338" s="26"/>
    </row>
    <row r="339" spans="6:6" x14ac:dyDescent="0.25">
      <c r="F339" s="26"/>
    </row>
    <row r="340" spans="6:6" x14ac:dyDescent="0.25">
      <c r="F340" s="26"/>
    </row>
    <row r="341" spans="6:6" x14ac:dyDescent="0.25">
      <c r="F341" s="26"/>
    </row>
    <row r="342" spans="6:6" x14ac:dyDescent="0.25">
      <c r="F342" s="26"/>
    </row>
    <row r="343" spans="6:6" x14ac:dyDescent="0.25">
      <c r="F343" s="26"/>
    </row>
    <row r="344" spans="6:6" x14ac:dyDescent="0.25">
      <c r="F344" s="26"/>
    </row>
    <row r="345" spans="6:6" x14ac:dyDescent="0.25">
      <c r="F345" s="26"/>
    </row>
    <row r="346" spans="6:6" x14ac:dyDescent="0.25">
      <c r="F346" s="26"/>
    </row>
    <row r="347" spans="6:6" x14ac:dyDescent="0.25">
      <c r="F347" s="26"/>
    </row>
    <row r="348" spans="6:6" x14ac:dyDescent="0.25">
      <c r="F348" s="26"/>
    </row>
    <row r="349" spans="6:6" x14ac:dyDescent="0.25">
      <c r="F349" s="26"/>
    </row>
    <row r="350" spans="6:6" x14ac:dyDescent="0.25">
      <c r="F350" s="26"/>
    </row>
    <row r="351" spans="6:6" x14ac:dyDescent="0.25">
      <c r="F351" s="26"/>
    </row>
    <row r="352" spans="6:6" x14ac:dyDescent="0.25">
      <c r="F352" s="26"/>
    </row>
    <row r="353" spans="6:6" x14ac:dyDescent="0.25">
      <c r="F353" s="26"/>
    </row>
    <row r="354" spans="6:6" x14ac:dyDescent="0.25">
      <c r="F354" s="26"/>
    </row>
    <row r="355" spans="6:6" x14ac:dyDescent="0.25">
      <c r="F355" s="26"/>
    </row>
    <row r="356" spans="6:6" x14ac:dyDescent="0.25">
      <c r="F356" s="26"/>
    </row>
    <row r="357" spans="6:6" x14ac:dyDescent="0.25">
      <c r="F357" s="26"/>
    </row>
    <row r="358" spans="6:6" x14ac:dyDescent="0.25">
      <c r="F358" s="26"/>
    </row>
    <row r="359" spans="6:6" x14ac:dyDescent="0.25">
      <c r="F359" s="26"/>
    </row>
    <row r="360" spans="6:6" x14ac:dyDescent="0.25">
      <c r="F360" s="26"/>
    </row>
    <row r="361" spans="6:6" x14ac:dyDescent="0.25">
      <c r="F361" s="26"/>
    </row>
    <row r="362" spans="6:6" x14ac:dyDescent="0.25">
      <c r="F362" s="26"/>
    </row>
    <row r="363" spans="6:6" x14ac:dyDescent="0.25">
      <c r="F363" s="26"/>
    </row>
    <row r="364" spans="6:6" x14ac:dyDescent="0.25">
      <c r="F364" s="26"/>
    </row>
    <row r="365" spans="6:6" x14ac:dyDescent="0.25">
      <c r="F365" s="26"/>
    </row>
    <row r="366" spans="6:6" x14ac:dyDescent="0.25">
      <c r="F366" s="26"/>
    </row>
    <row r="367" spans="6:6" x14ac:dyDescent="0.25">
      <c r="F367" s="26"/>
    </row>
    <row r="368" spans="6:6" x14ac:dyDescent="0.25">
      <c r="F368" s="26"/>
    </row>
    <row r="369" spans="6:6" x14ac:dyDescent="0.25">
      <c r="F369" s="26"/>
    </row>
    <row r="370" spans="6:6" x14ac:dyDescent="0.25">
      <c r="F370" s="26"/>
    </row>
    <row r="371" spans="6:6" x14ac:dyDescent="0.25">
      <c r="F371" s="26"/>
    </row>
    <row r="372" spans="6:6" x14ac:dyDescent="0.25">
      <c r="F372" s="26"/>
    </row>
    <row r="373" spans="6:6" x14ac:dyDescent="0.25">
      <c r="F373" s="26"/>
    </row>
    <row r="374" spans="6:6" x14ac:dyDescent="0.25">
      <c r="F374" s="26"/>
    </row>
    <row r="375" spans="6:6" x14ac:dyDescent="0.25">
      <c r="F375" s="26"/>
    </row>
    <row r="376" spans="6:6" x14ac:dyDescent="0.25">
      <c r="F376" s="26"/>
    </row>
    <row r="377" spans="6:6" x14ac:dyDescent="0.25">
      <c r="F377" s="26"/>
    </row>
    <row r="378" spans="6:6" x14ac:dyDescent="0.25">
      <c r="F378" s="26"/>
    </row>
    <row r="379" spans="6:6" x14ac:dyDescent="0.25">
      <c r="F379" s="26"/>
    </row>
    <row r="380" spans="6:6" x14ac:dyDescent="0.25">
      <c r="F380" s="26"/>
    </row>
    <row r="381" spans="6:6" x14ac:dyDescent="0.25">
      <c r="F381" s="26"/>
    </row>
    <row r="382" spans="6:6" x14ac:dyDescent="0.25">
      <c r="F382" s="26"/>
    </row>
    <row r="383" spans="6:6" x14ac:dyDescent="0.25">
      <c r="F383" s="26"/>
    </row>
    <row r="384" spans="6:6" x14ac:dyDescent="0.25">
      <c r="F384" s="26"/>
    </row>
    <row r="385" spans="6:6" x14ac:dyDescent="0.25">
      <c r="F385" s="26"/>
    </row>
    <row r="386" spans="6:6" x14ac:dyDescent="0.25">
      <c r="F386" s="26"/>
    </row>
    <row r="387" spans="6:6" x14ac:dyDescent="0.25">
      <c r="F387" s="26"/>
    </row>
    <row r="388" spans="6:6" x14ac:dyDescent="0.25">
      <c r="F388" s="26"/>
    </row>
    <row r="389" spans="6:6" x14ac:dyDescent="0.25">
      <c r="F389" s="26"/>
    </row>
    <row r="390" spans="6:6" x14ac:dyDescent="0.25">
      <c r="F390" s="26"/>
    </row>
    <row r="391" spans="6:6" x14ac:dyDescent="0.25">
      <c r="F391" s="26"/>
    </row>
    <row r="392" spans="6:6" x14ac:dyDescent="0.25">
      <c r="F392" s="26"/>
    </row>
    <row r="393" spans="6:6" x14ac:dyDescent="0.25">
      <c r="F393" s="26"/>
    </row>
    <row r="394" spans="6:6" x14ac:dyDescent="0.25">
      <c r="F394" s="26"/>
    </row>
    <row r="395" spans="6:6" x14ac:dyDescent="0.25">
      <c r="F395" s="26"/>
    </row>
    <row r="396" spans="6:6" x14ac:dyDescent="0.25">
      <c r="F396" s="26"/>
    </row>
    <row r="397" spans="6:6" x14ac:dyDescent="0.25">
      <c r="F397" s="26"/>
    </row>
    <row r="398" spans="6:6" x14ac:dyDescent="0.25">
      <c r="F398" s="26"/>
    </row>
    <row r="399" spans="6:6" x14ac:dyDescent="0.25">
      <c r="F399" s="26"/>
    </row>
    <row r="400" spans="6:6" x14ac:dyDescent="0.25">
      <c r="F400" s="26"/>
    </row>
    <row r="401" spans="6:6" x14ac:dyDescent="0.25">
      <c r="F401" s="26"/>
    </row>
    <row r="402" spans="6:6" x14ac:dyDescent="0.25">
      <c r="F402" s="26"/>
    </row>
    <row r="403" spans="6:6" x14ac:dyDescent="0.25">
      <c r="F403" s="26"/>
    </row>
    <row r="404" spans="6:6" x14ac:dyDescent="0.25">
      <c r="F404" s="26"/>
    </row>
    <row r="405" spans="6:6" x14ac:dyDescent="0.25">
      <c r="F405" s="26"/>
    </row>
    <row r="406" spans="6:6" x14ac:dyDescent="0.25">
      <c r="F406" s="26"/>
    </row>
    <row r="407" spans="6:6" x14ac:dyDescent="0.25">
      <c r="F407" s="26"/>
    </row>
    <row r="408" spans="6:6" x14ac:dyDescent="0.25">
      <c r="F408" s="26"/>
    </row>
    <row r="409" spans="6:6" x14ac:dyDescent="0.25">
      <c r="F409" s="26"/>
    </row>
    <row r="410" spans="6:6" x14ac:dyDescent="0.25">
      <c r="F410" s="26"/>
    </row>
    <row r="411" spans="6:6" x14ac:dyDescent="0.25">
      <c r="F411" s="26"/>
    </row>
    <row r="412" spans="6:6" x14ac:dyDescent="0.25">
      <c r="F412" s="26"/>
    </row>
    <row r="413" spans="6:6" x14ac:dyDescent="0.25">
      <c r="F413" s="26"/>
    </row>
    <row r="414" spans="6:6" x14ac:dyDescent="0.25">
      <c r="F414" s="26"/>
    </row>
    <row r="415" spans="6:6" x14ac:dyDescent="0.25">
      <c r="F415" s="26"/>
    </row>
    <row r="416" spans="6:6" x14ac:dyDescent="0.25">
      <c r="F416" s="26"/>
    </row>
    <row r="417" spans="6:6" x14ac:dyDescent="0.25">
      <c r="F417" s="26"/>
    </row>
    <row r="418" spans="6:6" x14ac:dyDescent="0.25">
      <c r="F418" s="26"/>
    </row>
    <row r="419" spans="6:6" x14ac:dyDescent="0.25">
      <c r="F419" s="26"/>
    </row>
    <row r="420" spans="6:6" x14ac:dyDescent="0.25">
      <c r="F420" s="26"/>
    </row>
    <row r="421" spans="6:6" x14ac:dyDescent="0.25">
      <c r="F421" s="26"/>
    </row>
    <row r="422" spans="6:6" x14ac:dyDescent="0.25">
      <c r="F422" s="26"/>
    </row>
    <row r="423" spans="6:6" x14ac:dyDescent="0.25">
      <c r="F423" s="26"/>
    </row>
    <row r="424" spans="6:6" x14ac:dyDescent="0.25">
      <c r="F424" s="26"/>
    </row>
    <row r="425" spans="6:6" x14ac:dyDescent="0.25">
      <c r="F425" s="26"/>
    </row>
    <row r="426" spans="6:6" x14ac:dyDescent="0.25">
      <c r="F426" s="26"/>
    </row>
    <row r="427" spans="6:6" x14ac:dyDescent="0.25">
      <c r="F427" s="26"/>
    </row>
    <row r="428" spans="6:6" x14ac:dyDescent="0.25">
      <c r="F428" s="26"/>
    </row>
    <row r="429" spans="6:6" x14ac:dyDescent="0.25">
      <c r="F429" s="26"/>
    </row>
    <row r="430" spans="6:6" x14ac:dyDescent="0.25">
      <c r="F430" s="26"/>
    </row>
    <row r="431" spans="6:6" x14ac:dyDescent="0.25">
      <c r="F431" s="26"/>
    </row>
    <row r="432" spans="6:6" x14ac:dyDescent="0.25">
      <c r="F432" s="26"/>
    </row>
    <row r="433" spans="6:6" x14ac:dyDescent="0.25">
      <c r="F433" s="26"/>
    </row>
    <row r="434" spans="6:6" x14ac:dyDescent="0.25">
      <c r="F434" s="26"/>
    </row>
    <row r="435" spans="6:6" x14ac:dyDescent="0.25">
      <c r="F435" s="26"/>
    </row>
    <row r="436" spans="6:6" x14ac:dyDescent="0.25">
      <c r="F436" s="26"/>
    </row>
    <row r="437" spans="6:6" x14ac:dyDescent="0.25">
      <c r="F437" s="26"/>
    </row>
    <row r="438" spans="6:6" x14ac:dyDescent="0.25">
      <c r="F438" s="26"/>
    </row>
    <row r="439" spans="6:6" x14ac:dyDescent="0.25">
      <c r="F439" s="26"/>
    </row>
    <row r="440" spans="6:6" x14ac:dyDescent="0.25">
      <c r="F440" s="26"/>
    </row>
    <row r="441" spans="6:6" x14ac:dyDescent="0.25">
      <c r="F441" s="26"/>
    </row>
    <row r="442" spans="6:6" x14ac:dyDescent="0.25">
      <c r="F442" s="26"/>
    </row>
    <row r="443" spans="6:6" x14ac:dyDescent="0.25">
      <c r="F443" s="26"/>
    </row>
    <row r="444" spans="6:6" x14ac:dyDescent="0.25">
      <c r="F444" s="26"/>
    </row>
    <row r="445" spans="6:6" x14ac:dyDescent="0.25">
      <c r="F445" s="26"/>
    </row>
    <row r="446" spans="6:6" x14ac:dyDescent="0.25">
      <c r="F446" s="26"/>
    </row>
    <row r="447" spans="6:6" x14ac:dyDescent="0.25">
      <c r="F447" s="26"/>
    </row>
    <row r="448" spans="6:6" x14ac:dyDescent="0.25">
      <c r="F448" s="26"/>
    </row>
    <row r="449" spans="6:6" x14ac:dyDescent="0.25">
      <c r="F449" s="26"/>
    </row>
    <row r="450" spans="6:6" x14ac:dyDescent="0.25">
      <c r="F450" s="26"/>
    </row>
    <row r="451" spans="6:6" x14ac:dyDescent="0.25">
      <c r="F451" s="26"/>
    </row>
    <row r="452" spans="6:6" x14ac:dyDescent="0.25">
      <c r="F452" s="26"/>
    </row>
    <row r="453" spans="6:6" x14ac:dyDescent="0.25">
      <c r="F453" s="26"/>
    </row>
    <row r="454" spans="6:6" x14ac:dyDescent="0.25">
      <c r="F454" s="26"/>
    </row>
    <row r="455" spans="6:6" x14ac:dyDescent="0.25">
      <c r="F455" s="26"/>
    </row>
    <row r="456" spans="6:6" x14ac:dyDescent="0.25">
      <c r="F456" s="26"/>
    </row>
    <row r="457" spans="6:6" x14ac:dyDescent="0.25">
      <c r="F457" s="26"/>
    </row>
    <row r="458" spans="6:6" x14ac:dyDescent="0.25">
      <c r="F458" s="26"/>
    </row>
    <row r="459" spans="6:6" x14ac:dyDescent="0.25">
      <c r="F459" s="26"/>
    </row>
    <row r="460" spans="6:6" x14ac:dyDescent="0.25">
      <c r="F460" s="26"/>
    </row>
    <row r="461" spans="6:6" x14ac:dyDescent="0.25">
      <c r="F461" s="26"/>
    </row>
    <row r="462" spans="6:6" x14ac:dyDescent="0.25">
      <c r="F462" s="26"/>
    </row>
    <row r="463" spans="6:6" x14ac:dyDescent="0.25">
      <c r="F463" s="26"/>
    </row>
    <row r="464" spans="6:6" x14ac:dyDescent="0.25">
      <c r="F464" s="26"/>
    </row>
    <row r="465" spans="6:6" x14ac:dyDescent="0.25">
      <c r="F465" s="26"/>
    </row>
    <row r="466" spans="6:6" x14ac:dyDescent="0.25">
      <c r="F466" s="26"/>
    </row>
    <row r="467" spans="6:6" x14ac:dyDescent="0.25">
      <c r="F467" s="26"/>
    </row>
    <row r="468" spans="6:6" x14ac:dyDescent="0.25">
      <c r="F468" s="26"/>
    </row>
    <row r="469" spans="6:6" x14ac:dyDescent="0.25">
      <c r="F469" s="26"/>
    </row>
    <row r="470" spans="6:6" x14ac:dyDescent="0.25">
      <c r="F470" s="26"/>
    </row>
    <row r="471" spans="6:6" x14ac:dyDescent="0.25">
      <c r="F471" s="26"/>
    </row>
    <row r="472" spans="6:6" x14ac:dyDescent="0.25">
      <c r="F472" s="26"/>
    </row>
    <row r="473" spans="6:6" x14ac:dyDescent="0.25">
      <c r="F473" s="26"/>
    </row>
    <row r="474" spans="6:6" x14ac:dyDescent="0.25">
      <c r="F474" s="26"/>
    </row>
    <row r="475" spans="6:6" x14ac:dyDescent="0.25">
      <c r="F475" s="26"/>
    </row>
    <row r="476" spans="6:6" x14ac:dyDescent="0.25">
      <c r="F476" s="26"/>
    </row>
    <row r="477" spans="6:6" x14ac:dyDescent="0.25">
      <c r="F477" s="26"/>
    </row>
    <row r="478" spans="6:6" x14ac:dyDescent="0.25">
      <c r="F478" s="26"/>
    </row>
    <row r="479" spans="6:6" x14ac:dyDescent="0.25">
      <c r="F479" s="26"/>
    </row>
    <row r="480" spans="6:6" x14ac:dyDescent="0.25">
      <c r="F480" s="26"/>
    </row>
    <row r="481" spans="6:6" x14ac:dyDescent="0.25">
      <c r="F481" s="26"/>
    </row>
    <row r="482" spans="6:6" x14ac:dyDescent="0.25">
      <c r="F482" s="26"/>
    </row>
    <row r="483" spans="6:6" x14ac:dyDescent="0.25">
      <c r="F483" s="26"/>
    </row>
    <row r="484" spans="6:6" x14ac:dyDescent="0.25">
      <c r="F484" s="26"/>
    </row>
    <row r="485" spans="6:6" x14ac:dyDescent="0.25">
      <c r="F485" s="26"/>
    </row>
    <row r="486" spans="6:6" x14ac:dyDescent="0.25">
      <c r="F486" s="26"/>
    </row>
    <row r="487" spans="6:6" x14ac:dyDescent="0.25">
      <c r="F487" s="26"/>
    </row>
    <row r="488" spans="6:6" x14ac:dyDescent="0.25">
      <c r="F488" s="26"/>
    </row>
    <row r="489" spans="6:6" x14ac:dyDescent="0.25">
      <c r="F489" s="26"/>
    </row>
    <row r="490" spans="6:6" x14ac:dyDescent="0.25">
      <c r="F490" s="26"/>
    </row>
    <row r="491" spans="6:6" x14ac:dyDescent="0.25">
      <c r="F491" s="26"/>
    </row>
    <row r="492" spans="6:6" x14ac:dyDescent="0.25">
      <c r="F492" s="26"/>
    </row>
    <row r="493" spans="6:6" x14ac:dyDescent="0.25">
      <c r="F493" s="26"/>
    </row>
    <row r="494" spans="6:6" x14ac:dyDescent="0.25">
      <c r="F494" s="26"/>
    </row>
    <row r="495" spans="6:6" x14ac:dyDescent="0.25">
      <c r="F495" s="26"/>
    </row>
    <row r="496" spans="6:6" x14ac:dyDescent="0.25">
      <c r="F496" s="26"/>
    </row>
    <row r="497" spans="6:6" x14ac:dyDescent="0.25">
      <c r="F497" s="26"/>
    </row>
    <row r="498" spans="6:6" x14ac:dyDescent="0.25">
      <c r="F498" s="26"/>
    </row>
    <row r="499" spans="6:6" x14ac:dyDescent="0.25">
      <c r="F499" s="26"/>
    </row>
    <row r="500" spans="6:6" x14ac:dyDescent="0.25">
      <c r="F500" s="26"/>
    </row>
    <row r="501" spans="6:6" x14ac:dyDescent="0.25">
      <c r="F501" s="26"/>
    </row>
    <row r="502" spans="6:6" x14ac:dyDescent="0.25">
      <c r="F502" s="26"/>
    </row>
    <row r="503" spans="6:6" x14ac:dyDescent="0.25">
      <c r="F503" s="26"/>
    </row>
    <row r="504" spans="6:6" x14ac:dyDescent="0.25">
      <c r="F504" s="26"/>
    </row>
    <row r="505" spans="6:6" x14ac:dyDescent="0.25">
      <c r="F505" s="26"/>
    </row>
    <row r="506" spans="6:6" x14ac:dyDescent="0.25">
      <c r="F506" s="26"/>
    </row>
    <row r="507" spans="6:6" x14ac:dyDescent="0.25">
      <c r="F507" s="26"/>
    </row>
    <row r="508" spans="6:6" x14ac:dyDescent="0.25">
      <c r="F508" s="26"/>
    </row>
    <row r="509" spans="6:6" x14ac:dyDescent="0.25">
      <c r="F509" s="26"/>
    </row>
    <row r="510" spans="6:6" x14ac:dyDescent="0.25">
      <c r="F510" s="26"/>
    </row>
    <row r="511" spans="6:6" x14ac:dyDescent="0.25">
      <c r="F511" s="26"/>
    </row>
    <row r="512" spans="6:6" x14ac:dyDescent="0.25">
      <c r="F512" s="26"/>
    </row>
    <row r="513" spans="6:6" x14ac:dyDescent="0.25">
      <c r="F513" s="26"/>
    </row>
    <row r="514" spans="6:6" x14ac:dyDescent="0.25">
      <c r="F514" s="26"/>
    </row>
    <row r="515" spans="6:6" x14ac:dyDescent="0.25">
      <c r="F515" s="26"/>
    </row>
    <row r="516" spans="6:6" x14ac:dyDescent="0.25">
      <c r="F516" s="26"/>
    </row>
    <row r="517" spans="6:6" x14ac:dyDescent="0.25">
      <c r="F517" s="26"/>
    </row>
    <row r="518" spans="6:6" x14ac:dyDescent="0.25">
      <c r="F518" s="26"/>
    </row>
    <row r="519" spans="6:6" x14ac:dyDescent="0.25">
      <c r="F519" s="26"/>
    </row>
    <row r="520" spans="6:6" x14ac:dyDescent="0.25">
      <c r="F520" s="26"/>
    </row>
    <row r="521" spans="6:6" x14ac:dyDescent="0.25">
      <c r="F521" s="26"/>
    </row>
    <row r="522" spans="6:6" x14ac:dyDescent="0.25">
      <c r="F522" s="26"/>
    </row>
    <row r="523" spans="6:6" x14ac:dyDescent="0.25">
      <c r="F523" s="26"/>
    </row>
    <row r="524" spans="6:6" x14ac:dyDescent="0.25">
      <c r="F524" s="26"/>
    </row>
    <row r="525" spans="6:6" x14ac:dyDescent="0.25">
      <c r="F525" s="26"/>
    </row>
    <row r="526" spans="6:6" x14ac:dyDescent="0.25">
      <c r="F526" s="26"/>
    </row>
    <row r="527" spans="6:6" x14ac:dyDescent="0.25">
      <c r="F527" s="26"/>
    </row>
    <row r="528" spans="6:6" x14ac:dyDescent="0.25">
      <c r="F528" s="26"/>
    </row>
    <row r="529" spans="6:6" x14ac:dyDescent="0.25">
      <c r="F529" s="26"/>
    </row>
    <row r="530" spans="6:6" x14ac:dyDescent="0.25">
      <c r="F530" s="26"/>
    </row>
    <row r="531" spans="6:6" x14ac:dyDescent="0.25">
      <c r="F531" s="26"/>
    </row>
    <row r="532" spans="6:6" x14ac:dyDescent="0.25">
      <c r="F532" s="26"/>
    </row>
    <row r="533" spans="6:6" x14ac:dyDescent="0.25">
      <c r="F533" s="26"/>
    </row>
    <row r="534" spans="6:6" x14ac:dyDescent="0.25">
      <c r="F534" s="26"/>
    </row>
    <row r="535" spans="6:6" x14ac:dyDescent="0.25">
      <c r="F535" s="26"/>
    </row>
    <row r="536" spans="6:6" x14ac:dyDescent="0.25">
      <c r="F536" s="26"/>
    </row>
    <row r="537" spans="6:6" x14ac:dyDescent="0.25">
      <c r="F537" s="26"/>
    </row>
    <row r="538" spans="6:6" x14ac:dyDescent="0.25">
      <c r="F538" s="26"/>
    </row>
    <row r="539" spans="6:6" x14ac:dyDescent="0.25">
      <c r="F539" s="26"/>
    </row>
    <row r="540" spans="6:6" x14ac:dyDescent="0.25">
      <c r="F540" s="26"/>
    </row>
    <row r="541" spans="6:6" x14ac:dyDescent="0.25">
      <c r="F541" s="26"/>
    </row>
    <row r="542" spans="6:6" x14ac:dyDescent="0.25">
      <c r="F542" s="26"/>
    </row>
    <row r="543" spans="6:6" x14ac:dyDescent="0.25">
      <c r="F543" s="26"/>
    </row>
    <row r="544" spans="6:6" x14ac:dyDescent="0.25">
      <c r="F544" s="26"/>
    </row>
    <row r="545" spans="6:6" x14ac:dyDescent="0.25">
      <c r="F545" s="26"/>
    </row>
    <row r="546" spans="6:6" x14ac:dyDescent="0.25">
      <c r="F546" s="26"/>
    </row>
    <row r="547" spans="6:6" x14ac:dyDescent="0.25">
      <c r="F547" s="26"/>
    </row>
    <row r="548" spans="6:6" x14ac:dyDescent="0.25">
      <c r="F548" s="26"/>
    </row>
    <row r="549" spans="6:6" x14ac:dyDescent="0.25">
      <c r="F549" s="26"/>
    </row>
    <row r="550" spans="6:6" x14ac:dyDescent="0.25">
      <c r="F550" s="26"/>
    </row>
    <row r="551" spans="6:6" x14ac:dyDescent="0.25">
      <c r="F551" s="26"/>
    </row>
    <row r="552" spans="6:6" x14ac:dyDescent="0.25">
      <c r="F552" s="26"/>
    </row>
    <row r="553" spans="6:6" x14ac:dyDescent="0.25">
      <c r="F553" s="26"/>
    </row>
    <row r="554" spans="6:6" x14ac:dyDescent="0.25">
      <c r="F554" s="26"/>
    </row>
    <row r="555" spans="6:6" x14ac:dyDescent="0.25">
      <c r="F555" s="26"/>
    </row>
    <row r="556" spans="6:6" x14ac:dyDescent="0.25">
      <c r="F556" s="26"/>
    </row>
    <row r="557" spans="6:6" x14ac:dyDescent="0.25">
      <c r="F557" s="26"/>
    </row>
    <row r="558" spans="6:6" x14ac:dyDescent="0.25">
      <c r="F558" s="26"/>
    </row>
    <row r="559" spans="6:6" x14ac:dyDescent="0.25">
      <c r="F559" s="26"/>
    </row>
    <row r="560" spans="6:6" x14ac:dyDescent="0.25">
      <c r="F560" s="26"/>
    </row>
    <row r="561" spans="6:6" x14ac:dyDescent="0.25">
      <c r="F561" s="26"/>
    </row>
    <row r="562" spans="6:6" x14ac:dyDescent="0.25">
      <c r="F562" s="26"/>
    </row>
    <row r="563" spans="6:6" x14ac:dyDescent="0.25">
      <c r="F563" s="26"/>
    </row>
    <row r="564" spans="6:6" x14ac:dyDescent="0.25">
      <c r="F564" s="26"/>
    </row>
    <row r="565" spans="6:6" x14ac:dyDescent="0.25">
      <c r="F565" s="26"/>
    </row>
    <row r="566" spans="6:6" x14ac:dyDescent="0.25">
      <c r="F566" s="26"/>
    </row>
    <row r="567" spans="6:6" x14ac:dyDescent="0.25">
      <c r="F567" s="26"/>
    </row>
    <row r="568" spans="6:6" x14ac:dyDescent="0.25">
      <c r="F568" s="26"/>
    </row>
    <row r="569" spans="6:6" x14ac:dyDescent="0.25">
      <c r="F569" s="26"/>
    </row>
    <row r="570" spans="6:6" x14ac:dyDescent="0.25">
      <c r="F570" s="26"/>
    </row>
    <row r="571" spans="6:6" x14ac:dyDescent="0.25">
      <c r="F571" s="26"/>
    </row>
    <row r="572" spans="6:6" x14ac:dyDescent="0.25">
      <c r="F572" s="26"/>
    </row>
    <row r="573" spans="6:6" x14ac:dyDescent="0.25">
      <c r="F573" s="26"/>
    </row>
    <row r="574" spans="6:6" x14ac:dyDescent="0.25">
      <c r="F574" s="26"/>
    </row>
    <row r="575" spans="6:6" x14ac:dyDescent="0.25">
      <c r="F575" s="26"/>
    </row>
    <row r="576" spans="6:6" x14ac:dyDescent="0.25">
      <c r="F576" s="26"/>
    </row>
    <row r="577" spans="6:6" x14ac:dyDescent="0.25">
      <c r="F577" s="26"/>
    </row>
    <row r="578" spans="6:6" x14ac:dyDescent="0.25">
      <c r="F578" s="26"/>
    </row>
    <row r="579" spans="6:6" x14ac:dyDescent="0.25">
      <c r="F579" s="26"/>
    </row>
    <row r="580" spans="6:6" x14ac:dyDescent="0.25">
      <c r="F580" s="26"/>
    </row>
    <row r="581" spans="6:6" x14ac:dyDescent="0.25">
      <c r="F581" s="26"/>
    </row>
    <row r="582" spans="6:6" x14ac:dyDescent="0.25">
      <c r="F582" s="26"/>
    </row>
    <row r="583" spans="6:6" x14ac:dyDescent="0.25">
      <c r="F583" s="26"/>
    </row>
    <row r="584" spans="6:6" x14ac:dyDescent="0.25">
      <c r="F584" s="26"/>
    </row>
    <row r="585" spans="6:6" x14ac:dyDescent="0.25">
      <c r="F585" s="26"/>
    </row>
    <row r="586" spans="6:6" x14ac:dyDescent="0.25">
      <c r="F586" s="26"/>
    </row>
    <row r="587" spans="6:6" x14ac:dyDescent="0.25">
      <c r="F587" s="26"/>
    </row>
    <row r="588" spans="6:6" x14ac:dyDescent="0.25">
      <c r="F588" s="26"/>
    </row>
    <row r="589" spans="6:6" x14ac:dyDescent="0.25">
      <c r="F589" s="26"/>
    </row>
    <row r="590" spans="6:6" x14ac:dyDescent="0.25">
      <c r="F590" s="26"/>
    </row>
    <row r="591" spans="6:6" x14ac:dyDescent="0.25">
      <c r="F591" s="26"/>
    </row>
    <row r="592" spans="6:6" x14ac:dyDescent="0.25">
      <c r="F592" s="26"/>
    </row>
    <row r="593" spans="6:6" x14ac:dyDescent="0.25">
      <c r="F593" s="26"/>
    </row>
    <row r="594" spans="6:6" x14ac:dyDescent="0.25">
      <c r="F594" s="26"/>
    </row>
    <row r="595" spans="6:6" x14ac:dyDescent="0.25">
      <c r="F595" s="26"/>
    </row>
    <row r="596" spans="6:6" x14ac:dyDescent="0.25">
      <c r="F596" s="26"/>
    </row>
    <row r="597" spans="6:6" x14ac:dyDescent="0.25">
      <c r="F597" s="26"/>
    </row>
    <row r="598" spans="6:6" x14ac:dyDescent="0.25">
      <c r="F598" s="26"/>
    </row>
    <row r="599" spans="6:6" x14ac:dyDescent="0.25">
      <c r="F599" s="26"/>
    </row>
    <row r="600" spans="6:6" x14ac:dyDescent="0.25">
      <c r="F600" s="26"/>
    </row>
    <row r="601" spans="6:6" x14ac:dyDescent="0.25">
      <c r="F601" s="26"/>
    </row>
    <row r="602" spans="6:6" x14ac:dyDescent="0.25">
      <c r="F602" s="26"/>
    </row>
    <row r="603" spans="6:6" x14ac:dyDescent="0.25">
      <c r="F603" s="26"/>
    </row>
    <row r="604" spans="6:6" x14ac:dyDescent="0.25">
      <c r="F604" s="26"/>
    </row>
    <row r="605" spans="6:6" x14ac:dyDescent="0.25">
      <c r="F605" s="26"/>
    </row>
    <row r="606" spans="6:6" x14ac:dyDescent="0.25">
      <c r="F606" s="26"/>
    </row>
    <row r="607" spans="6:6" x14ac:dyDescent="0.25">
      <c r="F607" s="26"/>
    </row>
    <row r="608" spans="6:6" x14ac:dyDescent="0.25">
      <c r="F608" s="26"/>
    </row>
    <row r="609" spans="6:6" x14ac:dyDescent="0.25">
      <c r="F609" s="26"/>
    </row>
    <row r="610" spans="6:6" x14ac:dyDescent="0.25">
      <c r="F610" s="26"/>
    </row>
    <row r="611" spans="6:6" x14ac:dyDescent="0.25">
      <c r="F611" s="26"/>
    </row>
    <row r="612" spans="6:6" x14ac:dyDescent="0.25">
      <c r="F612" s="26"/>
    </row>
    <row r="613" spans="6:6" x14ac:dyDescent="0.25">
      <c r="F613" s="26"/>
    </row>
    <row r="614" spans="6:6" x14ac:dyDescent="0.25">
      <c r="F614" s="26"/>
    </row>
    <row r="615" spans="6:6" x14ac:dyDescent="0.25">
      <c r="F615" s="26"/>
    </row>
    <row r="616" spans="6:6" x14ac:dyDescent="0.25">
      <c r="F616" s="26"/>
    </row>
    <row r="617" spans="6:6" x14ac:dyDescent="0.25">
      <c r="F617" s="26"/>
    </row>
    <row r="618" spans="6:6" x14ac:dyDescent="0.25">
      <c r="F618" s="26"/>
    </row>
    <row r="619" spans="6:6" x14ac:dyDescent="0.25">
      <c r="F619" s="26"/>
    </row>
    <row r="620" spans="6:6" x14ac:dyDescent="0.25">
      <c r="F620" s="26"/>
    </row>
    <row r="621" spans="6:6" x14ac:dyDescent="0.25">
      <c r="F621" s="26"/>
    </row>
    <row r="622" spans="6:6" x14ac:dyDescent="0.25">
      <c r="F622" s="26"/>
    </row>
    <row r="623" spans="6:6" x14ac:dyDescent="0.25">
      <c r="F623" s="26"/>
    </row>
    <row r="624" spans="6:6" x14ac:dyDescent="0.25">
      <c r="F624" s="26"/>
    </row>
    <row r="625" spans="6:6" x14ac:dyDescent="0.25">
      <c r="F625" s="26"/>
    </row>
    <row r="626" spans="6:6" x14ac:dyDescent="0.25">
      <c r="F626" s="26"/>
    </row>
    <row r="627" spans="6:6" x14ac:dyDescent="0.25">
      <c r="F627" s="26"/>
    </row>
    <row r="628" spans="6:6" x14ac:dyDescent="0.25">
      <c r="F628" s="26"/>
    </row>
    <row r="629" spans="6:6" x14ac:dyDescent="0.25">
      <c r="F629" s="26"/>
    </row>
    <row r="630" spans="6:6" x14ac:dyDescent="0.25">
      <c r="F630" s="26"/>
    </row>
    <row r="631" spans="6:6" x14ac:dyDescent="0.25">
      <c r="F631" s="26"/>
    </row>
    <row r="632" spans="6:6" x14ac:dyDescent="0.25">
      <c r="F632" s="26"/>
    </row>
    <row r="633" spans="6:6" x14ac:dyDescent="0.25">
      <c r="F633" s="26"/>
    </row>
    <row r="634" spans="6:6" x14ac:dyDescent="0.25">
      <c r="F634" s="26"/>
    </row>
    <row r="635" spans="6:6" x14ac:dyDescent="0.25">
      <c r="F635" s="26"/>
    </row>
    <row r="636" spans="6:6" x14ac:dyDescent="0.25">
      <c r="F636" s="26"/>
    </row>
    <row r="637" spans="6:6" x14ac:dyDescent="0.25">
      <c r="F637" s="26"/>
    </row>
    <row r="638" spans="6:6" x14ac:dyDescent="0.25">
      <c r="F638" s="26"/>
    </row>
    <row r="639" spans="6:6" x14ac:dyDescent="0.25">
      <c r="F639" s="26"/>
    </row>
    <row r="640" spans="6:6" x14ac:dyDescent="0.25">
      <c r="F640" s="26"/>
    </row>
    <row r="641" spans="6:6" x14ac:dyDescent="0.25">
      <c r="F641" s="26"/>
    </row>
    <row r="642" spans="6:6" x14ac:dyDescent="0.25">
      <c r="F642" s="26"/>
    </row>
    <row r="643" spans="6:6" x14ac:dyDescent="0.25">
      <c r="F643" s="26"/>
    </row>
    <row r="644" spans="6:6" x14ac:dyDescent="0.25">
      <c r="F644" s="26"/>
    </row>
    <row r="645" spans="6:6" x14ac:dyDescent="0.25">
      <c r="F645" s="26"/>
    </row>
    <row r="646" spans="6:6" x14ac:dyDescent="0.25">
      <c r="F646" s="26"/>
    </row>
    <row r="647" spans="6:6" x14ac:dyDescent="0.25">
      <c r="F647" s="26"/>
    </row>
    <row r="648" spans="6:6" x14ac:dyDescent="0.25">
      <c r="F648" s="26"/>
    </row>
    <row r="649" spans="6:6" x14ac:dyDescent="0.25">
      <c r="F649" s="26"/>
    </row>
    <row r="650" spans="6:6" x14ac:dyDescent="0.25">
      <c r="F650" s="26"/>
    </row>
    <row r="651" spans="6:6" x14ac:dyDescent="0.25">
      <c r="F651" s="26"/>
    </row>
    <row r="652" spans="6:6" x14ac:dyDescent="0.25">
      <c r="F652" s="26"/>
    </row>
    <row r="653" spans="6:6" x14ac:dyDescent="0.25">
      <c r="F653" s="26"/>
    </row>
    <row r="654" spans="6:6" x14ac:dyDescent="0.25">
      <c r="F654" s="26"/>
    </row>
    <row r="655" spans="6:6" x14ac:dyDescent="0.25">
      <c r="F655" s="26"/>
    </row>
    <row r="656" spans="6:6" x14ac:dyDescent="0.25">
      <c r="F656" s="26"/>
    </row>
    <row r="657" spans="6:6" x14ac:dyDescent="0.25">
      <c r="F657" s="26"/>
    </row>
    <row r="658" spans="6:6" x14ac:dyDescent="0.25">
      <c r="F658" s="26"/>
    </row>
    <row r="659" spans="6:6" x14ac:dyDescent="0.25">
      <c r="F659" s="26"/>
    </row>
    <row r="660" spans="6:6" x14ac:dyDescent="0.25">
      <c r="F660" s="26"/>
    </row>
    <row r="661" spans="6:6" x14ac:dyDescent="0.25">
      <c r="F661" s="26"/>
    </row>
    <row r="662" spans="6:6" x14ac:dyDescent="0.25">
      <c r="F662" s="26"/>
    </row>
    <row r="663" spans="6:6" x14ac:dyDescent="0.25">
      <c r="F663" s="26"/>
    </row>
    <row r="664" spans="6:6" x14ac:dyDescent="0.25">
      <c r="F664" s="26"/>
    </row>
    <row r="665" spans="6:6" x14ac:dyDescent="0.25">
      <c r="F665" s="26"/>
    </row>
    <row r="666" spans="6:6" x14ac:dyDescent="0.25">
      <c r="F666" s="26"/>
    </row>
    <row r="667" spans="6:6" x14ac:dyDescent="0.25">
      <c r="F667" s="26"/>
    </row>
    <row r="668" spans="6:6" x14ac:dyDescent="0.25">
      <c r="F668" s="26"/>
    </row>
    <row r="669" spans="6:6" x14ac:dyDescent="0.25">
      <c r="F669" s="26"/>
    </row>
    <row r="670" spans="6:6" x14ac:dyDescent="0.25">
      <c r="F670" s="26"/>
    </row>
    <row r="671" spans="6:6" x14ac:dyDescent="0.25">
      <c r="F671" s="26"/>
    </row>
    <row r="672" spans="6:6" x14ac:dyDescent="0.25">
      <c r="F672" s="26"/>
    </row>
    <row r="673" spans="6:6" x14ac:dyDescent="0.25">
      <c r="F673" s="26"/>
    </row>
    <row r="674" spans="6:6" x14ac:dyDescent="0.25">
      <c r="F674" s="26"/>
    </row>
    <row r="675" spans="6:6" x14ac:dyDescent="0.25">
      <c r="F675" s="26"/>
    </row>
    <row r="676" spans="6:6" x14ac:dyDescent="0.25">
      <c r="F676" s="26"/>
    </row>
    <row r="677" spans="6:6" x14ac:dyDescent="0.25">
      <c r="F677" s="26"/>
    </row>
    <row r="678" spans="6:6" x14ac:dyDescent="0.25">
      <c r="F678" s="26"/>
    </row>
    <row r="679" spans="6:6" x14ac:dyDescent="0.25">
      <c r="F679" s="26"/>
    </row>
    <row r="680" spans="6:6" x14ac:dyDescent="0.25">
      <c r="F680" s="26"/>
    </row>
    <row r="681" spans="6:6" x14ac:dyDescent="0.25">
      <c r="F681" s="26"/>
    </row>
    <row r="682" spans="6:6" x14ac:dyDescent="0.25">
      <c r="F682" s="26"/>
    </row>
    <row r="683" spans="6:6" x14ac:dyDescent="0.25">
      <c r="F683" s="26"/>
    </row>
    <row r="684" spans="6:6" x14ac:dyDescent="0.25">
      <c r="F684" s="26"/>
    </row>
    <row r="685" spans="6:6" x14ac:dyDescent="0.25">
      <c r="F685" s="26"/>
    </row>
    <row r="686" spans="6:6" x14ac:dyDescent="0.25">
      <c r="F686" s="26"/>
    </row>
    <row r="687" spans="6:6" x14ac:dyDescent="0.25">
      <c r="F687" s="26"/>
    </row>
    <row r="688" spans="6:6" x14ac:dyDescent="0.25">
      <c r="F688" s="26"/>
    </row>
    <row r="689" spans="6:6" x14ac:dyDescent="0.25">
      <c r="F689" s="26"/>
    </row>
    <row r="690" spans="6:6" x14ac:dyDescent="0.25">
      <c r="F690" s="26"/>
    </row>
    <row r="691" spans="6:6" x14ac:dyDescent="0.25">
      <c r="F691" s="26"/>
    </row>
    <row r="692" spans="6:6" x14ac:dyDescent="0.25">
      <c r="F692" s="26"/>
    </row>
    <row r="693" spans="6:6" x14ac:dyDescent="0.25">
      <c r="F693" s="26"/>
    </row>
    <row r="694" spans="6:6" x14ac:dyDescent="0.25">
      <c r="F694" s="26"/>
    </row>
    <row r="695" spans="6:6" x14ac:dyDescent="0.25">
      <c r="F695" s="26"/>
    </row>
    <row r="696" spans="6:6" x14ac:dyDescent="0.25">
      <c r="F696" s="26"/>
    </row>
    <row r="697" spans="6:6" x14ac:dyDescent="0.25">
      <c r="F697" s="26"/>
    </row>
    <row r="698" spans="6:6" x14ac:dyDescent="0.25">
      <c r="F698" s="26"/>
    </row>
    <row r="699" spans="6:6" x14ac:dyDescent="0.25">
      <c r="F699" s="26"/>
    </row>
    <row r="700" spans="6:6" x14ac:dyDescent="0.25">
      <c r="F700" s="26"/>
    </row>
    <row r="701" spans="6:6" x14ac:dyDescent="0.25">
      <c r="F701" s="26"/>
    </row>
    <row r="702" spans="6:6" x14ac:dyDescent="0.25">
      <c r="F702" s="26"/>
    </row>
    <row r="703" spans="6:6" x14ac:dyDescent="0.25">
      <c r="F703" s="26"/>
    </row>
    <row r="704" spans="6:6" x14ac:dyDescent="0.25">
      <c r="F704" s="26"/>
    </row>
    <row r="705" spans="6:6" x14ac:dyDescent="0.25">
      <c r="F705" s="26"/>
    </row>
    <row r="706" spans="6:6" x14ac:dyDescent="0.25">
      <c r="F706" s="26"/>
    </row>
    <row r="707" spans="6:6" x14ac:dyDescent="0.25">
      <c r="F707" s="26"/>
    </row>
    <row r="708" spans="6:6" x14ac:dyDescent="0.25">
      <c r="F708" s="26"/>
    </row>
    <row r="709" spans="6:6" x14ac:dyDescent="0.25">
      <c r="F709" s="26"/>
    </row>
    <row r="710" spans="6:6" x14ac:dyDescent="0.25">
      <c r="F710" s="26"/>
    </row>
    <row r="711" spans="6:6" x14ac:dyDescent="0.25">
      <c r="F711" s="26"/>
    </row>
    <row r="712" spans="6:6" x14ac:dyDescent="0.25">
      <c r="F712" s="26"/>
    </row>
    <row r="713" spans="6:6" x14ac:dyDescent="0.25">
      <c r="F713" s="26"/>
    </row>
    <row r="714" spans="6:6" x14ac:dyDescent="0.25">
      <c r="F714" s="26"/>
    </row>
    <row r="715" spans="6:6" x14ac:dyDescent="0.25">
      <c r="F715" s="26"/>
    </row>
    <row r="716" spans="6:6" x14ac:dyDescent="0.25">
      <c r="F716" s="26"/>
    </row>
    <row r="717" spans="6:6" x14ac:dyDescent="0.25">
      <c r="F717" s="26"/>
    </row>
    <row r="718" spans="6:6" x14ac:dyDescent="0.25">
      <c r="F718" s="26"/>
    </row>
    <row r="719" spans="6:6" x14ac:dyDescent="0.25">
      <c r="F719" s="26"/>
    </row>
    <row r="720" spans="6:6" x14ac:dyDescent="0.25">
      <c r="F720" s="26"/>
    </row>
    <row r="721" spans="6:6" x14ac:dyDescent="0.25">
      <c r="F721" s="26"/>
    </row>
    <row r="722" spans="6:6" x14ac:dyDescent="0.25">
      <c r="F722" s="26"/>
    </row>
    <row r="723" spans="6:6" x14ac:dyDescent="0.25">
      <c r="F723" s="26"/>
    </row>
    <row r="724" spans="6:6" x14ac:dyDescent="0.25">
      <c r="F724" s="26"/>
    </row>
    <row r="725" spans="6:6" x14ac:dyDescent="0.25">
      <c r="F725" s="26"/>
    </row>
    <row r="726" spans="6:6" x14ac:dyDescent="0.25">
      <c r="F726" s="26"/>
    </row>
    <row r="727" spans="6:6" x14ac:dyDescent="0.25">
      <c r="F727" s="26"/>
    </row>
    <row r="728" spans="6:6" x14ac:dyDescent="0.25">
      <c r="F728" s="26"/>
    </row>
    <row r="729" spans="6:6" x14ac:dyDescent="0.25">
      <c r="F729" s="26"/>
    </row>
    <row r="730" spans="6:6" x14ac:dyDescent="0.25">
      <c r="F730" s="26"/>
    </row>
    <row r="731" spans="6:6" x14ac:dyDescent="0.25">
      <c r="F731" s="26"/>
    </row>
    <row r="732" spans="6:6" x14ac:dyDescent="0.25">
      <c r="F732" s="26"/>
    </row>
    <row r="733" spans="6:6" x14ac:dyDescent="0.25">
      <c r="F733" s="26"/>
    </row>
    <row r="734" spans="6:6" x14ac:dyDescent="0.25">
      <c r="F734" s="26"/>
    </row>
    <row r="735" spans="6:6" x14ac:dyDescent="0.25">
      <c r="F735" s="26"/>
    </row>
    <row r="736" spans="6:6" x14ac:dyDescent="0.25">
      <c r="F736" s="26"/>
    </row>
    <row r="737" spans="6:6" x14ac:dyDescent="0.25">
      <c r="F737" s="26"/>
    </row>
    <row r="738" spans="6:6" x14ac:dyDescent="0.25">
      <c r="F738" s="26"/>
    </row>
    <row r="739" spans="6:6" x14ac:dyDescent="0.25">
      <c r="F739" s="26"/>
    </row>
    <row r="740" spans="6:6" x14ac:dyDescent="0.25">
      <c r="F740" s="26"/>
    </row>
    <row r="741" spans="6:6" x14ac:dyDescent="0.25">
      <c r="F741" s="26"/>
    </row>
    <row r="742" spans="6:6" x14ac:dyDescent="0.25">
      <c r="F742" s="26"/>
    </row>
    <row r="743" spans="6:6" x14ac:dyDescent="0.25">
      <c r="F743" s="26"/>
    </row>
    <row r="744" spans="6:6" x14ac:dyDescent="0.25">
      <c r="F744" s="26"/>
    </row>
    <row r="745" spans="6:6" x14ac:dyDescent="0.25">
      <c r="F745" s="26"/>
    </row>
    <row r="746" spans="6:6" x14ac:dyDescent="0.25">
      <c r="F746" s="26"/>
    </row>
    <row r="747" spans="6:6" x14ac:dyDescent="0.25">
      <c r="F747" s="26"/>
    </row>
    <row r="748" spans="6:6" x14ac:dyDescent="0.25">
      <c r="F748" s="26"/>
    </row>
    <row r="749" spans="6:6" x14ac:dyDescent="0.25">
      <c r="F749" s="26"/>
    </row>
    <row r="750" spans="6:6" x14ac:dyDescent="0.25">
      <c r="F750" s="26"/>
    </row>
    <row r="751" spans="6:6" x14ac:dyDescent="0.25">
      <c r="F751" s="26"/>
    </row>
    <row r="752" spans="6:6" x14ac:dyDescent="0.25">
      <c r="F752" s="26"/>
    </row>
    <row r="753" spans="6:6" x14ac:dyDescent="0.25">
      <c r="F753" s="26"/>
    </row>
    <row r="754" spans="6:6" x14ac:dyDescent="0.25">
      <c r="F754" s="26"/>
    </row>
    <row r="755" spans="6:6" x14ac:dyDescent="0.25">
      <c r="F755" s="26"/>
    </row>
    <row r="756" spans="6:6" x14ac:dyDescent="0.25">
      <c r="F756" s="26"/>
    </row>
    <row r="757" spans="6:6" x14ac:dyDescent="0.25">
      <c r="F757" s="26"/>
    </row>
    <row r="758" spans="6:6" x14ac:dyDescent="0.25">
      <c r="F758" s="26"/>
    </row>
    <row r="759" spans="6:6" x14ac:dyDescent="0.25">
      <c r="F759" s="26"/>
    </row>
    <row r="760" spans="6:6" x14ac:dyDescent="0.25">
      <c r="F760" s="26"/>
    </row>
    <row r="761" spans="6:6" x14ac:dyDescent="0.25">
      <c r="F761" s="26"/>
    </row>
    <row r="762" spans="6:6" x14ac:dyDescent="0.25">
      <c r="F762" s="26"/>
    </row>
    <row r="763" spans="6:6" x14ac:dyDescent="0.25">
      <c r="F763" s="26"/>
    </row>
    <row r="764" spans="6:6" x14ac:dyDescent="0.25">
      <c r="F764" s="26"/>
    </row>
    <row r="765" spans="6:6" x14ac:dyDescent="0.25">
      <c r="F765" s="26"/>
    </row>
    <row r="766" spans="6:6" x14ac:dyDescent="0.25">
      <c r="F766" s="26"/>
    </row>
    <row r="767" spans="6:6" x14ac:dyDescent="0.25">
      <c r="F767" s="26"/>
    </row>
    <row r="768" spans="6:6" x14ac:dyDescent="0.25">
      <c r="F768" s="26"/>
    </row>
    <row r="769" spans="6:6" x14ac:dyDescent="0.25">
      <c r="F769" s="26"/>
    </row>
    <row r="770" spans="6:6" x14ac:dyDescent="0.25">
      <c r="F770" s="26"/>
    </row>
    <row r="771" spans="6:6" x14ac:dyDescent="0.25">
      <c r="F771" s="26"/>
    </row>
    <row r="772" spans="6:6" x14ac:dyDescent="0.25">
      <c r="F772" s="26"/>
    </row>
    <row r="773" spans="6:6" x14ac:dyDescent="0.25">
      <c r="F773" s="26"/>
    </row>
    <row r="774" spans="6:6" x14ac:dyDescent="0.25">
      <c r="F774" s="26"/>
    </row>
    <row r="775" spans="6:6" x14ac:dyDescent="0.25">
      <c r="F775" s="26"/>
    </row>
    <row r="776" spans="6:6" x14ac:dyDescent="0.25">
      <c r="F776" s="26"/>
    </row>
    <row r="777" spans="6:6" x14ac:dyDescent="0.25">
      <c r="F777" s="26"/>
    </row>
    <row r="778" spans="6:6" x14ac:dyDescent="0.25">
      <c r="F778" s="26"/>
    </row>
    <row r="779" spans="6:6" x14ac:dyDescent="0.25">
      <c r="F779" s="26"/>
    </row>
    <row r="780" spans="6:6" x14ac:dyDescent="0.25">
      <c r="F780" s="26"/>
    </row>
    <row r="781" spans="6:6" x14ac:dyDescent="0.25">
      <c r="F781" s="26"/>
    </row>
    <row r="782" spans="6:6" x14ac:dyDescent="0.25">
      <c r="F782" s="26"/>
    </row>
    <row r="783" spans="6:6" x14ac:dyDescent="0.25">
      <c r="F783" s="26"/>
    </row>
    <row r="784" spans="6:6" x14ac:dyDescent="0.25">
      <c r="F784" s="26"/>
    </row>
    <row r="785" spans="6:6" x14ac:dyDescent="0.25">
      <c r="F785" s="26"/>
    </row>
    <row r="786" spans="6:6" x14ac:dyDescent="0.25">
      <c r="F786" s="26"/>
    </row>
    <row r="787" spans="6:6" x14ac:dyDescent="0.25">
      <c r="F787" s="26"/>
    </row>
    <row r="788" spans="6:6" x14ac:dyDescent="0.25">
      <c r="F788" s="26"/>
    </row>
    <row r="789" spans="6:6" x14ac:dyDescent="0.25">
      <c r="F789" s="26"/>
    </row>
    <row r="790" spans="6:6" x14ac:dyDescent="0.25">
      <c r="F790" s="26"/>
    </row>
    <row r="791" spans="6:6" x14ac:dyDescent="0.25">
      <c r="F791" s="26"/>
    </row>
    <row r="792" spans="6:6" x14ac:dyDescent="0.25">
      <c r="F792" s="26"/>
    </row>
    <row r="793" spans="6:6" x14ac:dyDescent="0.25">
      <c r="F793" s="26"/>
    </row>
    <row r="794" spans="6:6" x14ac:dyDescent="0.25">
      <c r="F794" s="26"/>
    </row>
    <row r="795" spans="6:6" x14ac:dyDescent="0.25">
      <c r="F795" s="26"/>
    </row>
    <row r="796" spans="6:6" x14ac:dyDescent="0.25">
      <c r="F796" s="26"/>
    </row>
    <row r="797" spans="6:6" x14ac:dyDescent="0.25">
      <c r="F797" s="26"/>
    </row>
    <row r="798" spans="6:6" x14ac:dyDescent="0.25">
      <c r="F798" s="26"/>
    </row>
    <row r="799" spans="6:6" x14ac:dyDescent="0.25">
      <c r="F799" s="26"/>
    </row>
    <row r="800" spans="6:6" x14ac:dyDescent="0.25">
      <c r="F800" s="26"/>
    </row>
    <row r="801" spans="6:6" x14ac:dyDescent="0.25">
      <c r="F801" s="26"/>
    </row>
    <row r="802" spans="6:6" x14ac:dyDescent="0.25">
      <c r="F802" s="26"/>
    </row>
    <row r="803" spans="6:6" x14ac:dyDescent="0.25">
      <c r="F803" s="26"/>
    </row>
    <row r="804" spans="6:6" x14ac:dyDescent="0.25">
      <c r="F804" s="26"/>
    </row>
    <row r="805" spans="6:6" x14ac:dyDescent="0.25">
      <c r="F805" s="26"/>
    </row>
    <row r="806" spans="6:6" x14ac:dyDescent="0.25">
      <c r="F806" s="26"/>
    </row>
    <row r="807" spans="6:6" x14ac:dyDescent="0.25">
      <c r="F807" s="26"/>
    </row>
    <row r="808" spans="6:6" x14ac:dyDescent="0.25">
      <c r="F808" s="26"/>
    </row>
    <row r="809" spans="6:6" x14ac:dyDescent="0.25">
      <c r="F809" s="26"/>
    </row>
    <row r="810" spans="6:6" x14ac:dyDescent="0.25">
      <c r="F810" s="26"/>
    </row>
    <row r="811" spans="6:6" x14ac:dyDescent="0.25">
      <c r="F811" s="26"/>
    </row>
    <row r="812" spans="6:6" x14ac:dyDescent="0.25">
      <c r="F812" s="26"/>
    </row>
    <row r="813" spans="6:6" x14ac:dyDescent="0.25">
      <c r="F813" s="26"/>
    </row>
    <row r="814" spans="6:6" x14ac:dyDescent="0.25">
      <c r="F814" s="26"/>
    </row>
    <row r="815" spans="6:6" x14ac:dyDescent="0.25">
      <c r="F815" s="26"/>
    </row>
    <row r="816" spans="6:6" x14ac:dyDescent="0.25">
      <c r="F816" s="26"/>
    </row>
    <row r="817" spans="6:6" x14ac:dyDescent="0.25">
      <c r="F817" s="26"/>
    </row>
    <row r="818" spans="6:6" x14ac:dyDescent="0.25">
      <c r="F818" s="26"/>
    </row>
    <row r="819" spans="6:6" x14ac:dyDescent="0.25">
      <c r="F819" s="26"/>
    </row>
    <row r="820" spans="6:6" x14ac:dyDescent="0.25">
      <c r="F820" s="26"/>
    </row>
    <row r="821" spans="6:6" x14ac:dyDescent="0.25">
      <c r="F821" s="26"/>
    </row>
    <row r="822" spans="6:6" x14ac:dyDescent="0.25">
      <c r="F822" s="26"/>
    </row>
    <row r="823" spans="6:6" x14ac:dyDescent="0.25">
      <c r="F823" s="26"/>
    </row>
    <row r="824" spans="6:6" x14ac:dyDescent="0.25">
      <c r="F824" s="26"/>
    </row>
    <row r="825" spans="6:6" x14ac:dyDescent="0.25">
      <c r="F825" s="26"/>
    </row>
    <row r="826" spans="6:6" x14ac:dyDescent="0.25">
      <c r="F826" s="26"/>
    </row>
    <row r="827" spans="6:6" x14ac:dyDescent="0.25">
      <c r="F827" s="26"/>
    </row>
    <row r="828" spans="6:6" x14ac:dyDescent="0.25">
      <c r="F828" s="26"/>
    </row>
    <row r="829" spans="6:6" x14ac:dyDescent="0.25">
      <c r="F829" s="26"/>
    </row>
    <row r="830" spans="6:6" x14ac:dyDescent="0.25">
      <c r="F830" s="26"/>
    </row>
    <row r="831" spans="6:6" x14ac:dyDescent="0.25">
      <c r="F831" s="26"/>
    </row>
    <row r="832" spans="6:6" x14ac:dyDescent="0.25">
      <c r="F832" s="26"/>
    </row>
    <row r="833" spans="6:6" x14ac:dyDescent="0.25">
      <c r="F833" s="26"/>
    </row>
    <row r="834" spans="6:6" x14ac:dyDescent="0.25">
      <c r="F834" s="26"/>
    </row>
    <row r="835" spans="6:6" x14ac:dyDescent="0.25">
      <c r="F835" s="26"/>
    </row>
    <row r="836" spans="6:6" x14ac:dyDescent="0.25">
      <c r="F836" s="26"/>
    </row>
    <row r="837" spans="6:6" x14ac:dyDescent="0.25">
      <c r="F837" s="26"/>
    </row>
    <row r="838" spans="6:6" x14ac:dyDescent="0.25">
      <c r="F838" s="26"/>
    </row>
    <row r="839" spans="6:6" x14ac:dyDescent="0.25">
      <c r="F839" s="26"/>
    </row>
    <row r="840" spans="6:6" x14ac:dyDescent="0.25">
      <c r="F840" s="26"/>
    </row>
    <row r="841" spans="6:6" x14ac:dyDescent="0.25">
      <c r="F841" s="26"/>
    </row>
    <row r="842" spans="6:6" x14ac:dyDescent="0.25">
      <c r="F842" s="26"/>
    </row>
    <row r="843" spans="6:6" x14ac:dyDescent="0.25">
      <c r="F843" s="26"/>
    </row>
    <row r="844" spans="6:6" x14ac:dyDescent="0.25">
      <c r="F844" s="26"/>
    </row>
    <row r="845" spans="6:6" x14ac:dyDescent="0.25">
      <c r="F845" s="26"/>
    </row>
    <row r="846" spans="6:6" x14ac:dyDescent="0.25">
      <c r="F846" s="26"/>
    </row>
    <row r="847" spans="6:6" x14ac:dyDescent="0.25">
      <c r="F847" s="26"/>
    </row>
    <row r="848" spans="6:6" x14ac:dyDescent="0.25">
      <c r="F848" s="26"/>
    </row>
    <row r="849" spans="6:6" x14ac:dyDescent="0.25">
      <c r="F849" s="26"/>
    </row>
    <row r="850" spans="6:6" x14ac:dyDescent="0.25">
      <c r="F850" s="26"/>
    </row>
    <row r="851" spans="6:6" x14ac:dyDescent="0.25">
      <c r="F851" s="26"/>
    </row>
    <row r="852" spans="6:6" x14ac:dyDescent="0.25">
      <c r="F852" s="26"/>
    </row>
    <row r="853" spans="6:6" x14ac:dyDescent="0.25">
      <c r="F853" s="26"/>
    </row>
    <row r="854" spans="6:6" x14ac:dyDescent="0.25">
      <c r="F854" s="26"/>
    </row>
    <row r="855" spans="6:6" x14ac:dyDescent="0.25">
      <c r="F855" s="26"/>
    </row>
    <row r="856" spans="6:6" x14ac:dyDescent="0.25">
      <c r="F856" s="26"/>
    </row>
    <row r="857" spans="6:6" x14ac:dyDescent="0.25">
      <c r="F857" s="26"/>
    </row>
    <row r="858" spans="6:6" x14ac:dyDescent="0.25">
      <c r="F858" s="26"/>
    </row>
    <row r="859" spans="6:6" x14ac:dyDescent="0.25">
      <c r="F859" s="26"/>
    </row>
    <row r="860" spans="6:6" x14ac:dyDescent="0.25">
      <c r="F860" s="26"/>
    </row>
    <row r="861" spans="6:6" x14ac:dyDescent="0.25">
      <c r="F861" s="26"/>
    </row>
    <row r="862" spans="6:6" x14ac:dyDescent="0.25">
      <c r="F862" s="26"/>
    </row>
    <row r="863" spans="6:6" x14ac:dyDescent="0.25">
      <c r="F863" s="26"/>
    </row>
    <row r="864" spans="6:6" x14ac:dyDescent="0.25">
      <c r="F864" s="26"/>
    </row>
    <row r="865" spans="6:6" x14ac:dyDescent="0.25">
      <c r="F865" s="26"/>
    </row>
    <row r="866" spans="6:6" x14ac:dyDescent="0.25">
      <c r="F866" s="26"/>
    </row>
    <row r="867" spans="6:6" x14ac:dyDescent="0.25">
      <c r="F867" s="26"/>
    </row>
    <row r="868" spans="6:6" x14ac:dyDescent="0.25">
      <c r="F868" s="26"/>
    </row>
    <row r="869" spans="6:6" x14ac:dyDescent="0.25">
      <c r="F869" s="26"/>
    </row>
    <row r="870" spans="6:6" x14ac:dyDescent="0.25">
      <c r="F870" s="26"/>
    </row>
    <row r="871" spans="6:6" x14ac:dyDescent="0.25">
      <c r="F871" s="26"/>
    </row>
    <row r="872" spans="6:6" x14ac:dyDescent="0.25">
      <c r="F872" s="26"/>
    </row>
    <row r="873" spans="6:6" x14ac:dyDescent="0.25">
      <c r="F873" s="26"/>
    </row>
    <row r="874" spans="6:6" x14ac:dyDescent="0.25">
      <c r="F874" s="26"/>
    </row>
    <row r="875" spans="6:6" x14ac:dyDescent="0.25">
      <c r="F875" s="26"/>
    </row>
    <row r="876" spans="6:6" x14ac:dyDescent="0.25">
      <c r="F876" s="26"/>
    </row>
    <row r="877" spans="6:6" x14ac:dyDescent="0.25">
      <c r="F877" s="26"/>
    </row>
    <row r="878" spans="6:6" x14ac:dyDescent="0.25">
      <c r="F878" s="26"/>
    </row>
    <row r="879" spans="6:6" x14ac:dyDescent="0.25">
      <c r="F879" s="26"/>
    </row>
    <row r="880" spans="6:6" x14ac:dyDescent="0.25">
      <c r="F880" s="26"/>
    </row>
    <row r="881" spans="6:6" x14ac:dyDescent="0.25">
      <c r="F881" s="26"/>
    </row>
    <row r="882" spans="6:6" x14ac:dyDescent="0.25">
      <c r="F882" s="26"/>
    </row>
    <row r="883" spans="6:6" x14ac:dyDescent="0.25">
      <c r="F883" s="26"/>
    </row>
    <row r="884" spans="6:6" x14ac:dyDescent="0.25">
      <c r="F884" s="26"/>
    </row>
    <row r="885" spans="6:6" x14ac:dyDescent="0.25">
      <c r="F885" s="26"/>
    </row>
    <row r="886" spans="6:6" x14ac:dyDescent="0.25">
      <c r="F886" s="26"/>
    </row>
    <row r="887" spans="6:6" x14ac:dyDescent="0.25">
      <c r="F887" s="26"/>
    </row>
    <row r="888" spans="6:6" x14ac:dyDescent="0.25">
      <c r="F888" s="26"/>
    </row>
    <row r="889" spans="6:6" x14ac:dyDescent="0.25">
      <c r="F889" s="26"/>
    </row>
    <row r="890" spans="6:6" x14ac:dyDescent="0.25">
      <c r="F890" s="26"/>
    </row>
    <row r="891" spans="6:6" x14ac:dyDescent="0.25">
      <c r="F891" s="26"/>
    </row>
    <row r="892" spans="6:6" x14ac:dyDescent="0.25">
      <c r="F892" s="26"/>
    </row>
    <row r="893" spans="6:6" x14ac:dyDescent="0.25">
      <c r="F893" s="26"/>
    </row>
    <row r="894" spans="6:6" x14ac:dyDescent="0.25">
      <c r="F894" s="26"/>
    </row>
    <row r="895" spans="6:6" x14ac:dyDescent="0.25">
      <c r="F895" s="26"/>
    </row>
    <row r="896" spans="6:6" x14ac:dyDescent="0.25">
      <c r="F896" s="26"/>
    </row>
    <row r="897" spans="6:6" x14ac:dyDescent="0.25">
      <c r="F897" s="26"/>
    </row>
    <row r="898" spans="6:6" x14ac:dyDescent="0.25">
      <c r="F898" s="26"/>
    </row>
    <row r="899" spans="6:6" x14ac:dyDescent="0.25">
      <c r="F899" s="26"/>
    </row>
    <row r="900" spans="6:6" x14ac:dyDescent="0.25">
      <c r="F900" s="26"/>
    </row>
    <row r="901" spans="6:6" x14ac:dyDescent="0.25">
      <c r="F901" s="26"/>
    </row>
    <row r="902" spans="6:6" x14ac:dyDescent="0.25">
      <c r="F902" s="26"/>
    </row>
    <row r="903" spans="6:6" x14ac:dyDescent="0.25">
      <c r="F903" s="26"/>
    </row>
    <row r="904" spans="6:6" x14ac:dyDescent="0.25">
      <c r="F904" s="26"/>
    </row>
    <row r="905" spans="6:6" x14ac:dyDescent="0.25">
      <c r="F905" s="26"/>
    </row>
    <row r="906" spans="6:6" x14ac:dyDescent="0.25">
      <c r="F906" s="26"/>
    </row>
    <row r="907" spans="6:6" x14ac:dyDescent="0.25">
      <c r="F907" s="26"/>
    </row>
    <row r="908" spans="6:6" x14ac:dyDescent="0.25">
      <c r="F908" s="26"/>
    </row>
    <row r="909" spans="6:6" x14ac:dyDescent="0.25">
      <c r="F909" s="26"/>
    </row>
    <row r="910" spans="6:6" x14ac:dyDescent="0.25">
      <c r="F910" s="26"/>
    </row>
    <row r="911" spans="6:6" x14ac:dyDescent="0.25">
      <c r="F911" s="26"/>
    </row>
    <row r="912" spans="6:6" x14ac:dyDescent="0.25">
      <c r="F912" s="26"/>
    </row>
    <row r="913" spans="6:6" x14ac:dyDescent="0.25">
      <c r="F913" s="26"/>
    </row>
    <row r="914" spans="6:6" x14ac:dyDescent="0.25">
      <c r="F914" s="26"/>
    </row>
    <row r="915" spans="6:6" x14ac:dyDescent="0.25">
      <c r="F915" s="26"/>
    </row>
    <row r="916" spans="6:6" x14ac:dyDescent="0.25">
      <c r="F916" s="26"/>
    </row>
    <row r="917" spans="6:6" x14ac:dyDescent="0.25">
      <c r="F917" s="26"/>
    </row>
    <row r="918" spans="6:6" x14ac:dyDescent="0.25">
      <c r="F918" s="26"/>
    </row>
    <row r="919" spans="6:6" x14ac:dyDescent="0.25">
      <c r="F919" s="26"/>
    </row>
    <row r="920" spans="6:6" x14ac:dyDescent="0.25">
      <c r="F920" s="26"/>
    </row>
    <row r="921" spans="6:6" x14ac:dyDescent="0.25">
      <c r="F921" s="26"/>
    </row>
    <row r="922" spans="6:6" x14ac:dyDescent="0.25">
      <c r="F922" s="26"/>
    </row>
    <row r="923" spans="6:6" x14ac:dyDescent="0.25">
      <c r="F923" s="26"/>
    </row>
    <row r="924" spans="6:6" x14ac:dyDescent="0.25">
      <c r="F924" s="26"/>
    </row>
    <row r="925" spans="6:6" x14ac:dyDescent="0.25">
      <c r="F925" s="26"/>
    </row>
    <row r="926" spans="6:6" x14ac:dyDescent="0.25">
      <c r="F926" s="26"/>
    </row>
    <row r="927" spans="6:6" x14ac:dyDescent="0.25">
      <c r="F927" s="26"/>
    </row>
    <row r="928" spans="6:6" x14ac:dyDescent="0.25">
      <c r="F928" s="26"/>
    </row>
    <row r="929" spans="6:6" x14ac:dyDescent="0.25">
      <c r="F929" s="26"/>
    </row>
    <row r="930" spans="6:6" x14ac:dyDescent="0.25">
      <c r="F930" s="26"/>
    </row>
    <row r="931" spans="6:6" x14ac:dyDescent="0.25">
      <c r="F931" s="26"/>
    </row>
    <row r="932" spans="6:6" x14ac:dyDescent="0.25">
      <c r="F932" s="26"/>
    </row>
    <row r="933" spans="6:6" x14ac:dyDescent="0.25">
      <c r="F933" s="26"/>
    </row>
    <row r="934" spans="6:6" x14ac:dyDescent="0.25">
      <c r="F934" s="26"/>
    </row>
    <row r="935" spans="6:6" x14ac:dyDescent="0.25">
      <c r="F935" s="26"/>
    </row>
    <row r="936" spans="6:6" x14ac:dyDescent="0.25">
      <c r="F936" s="26"/>
    </row>
    <row r="937" spans="6:6" x14ac:dyDescent="0.25">
      <c r="F937" s="26"/>
    </row>
    <row r="938" spans="6:6" x14ac:dyDescent="0.25">
      <c r="F938" s="26"/>
    </row>
    <row r="939" spans="6:6" x14ac:dyDescent="0.25">
      <c r="F939" s="26"/>
    </row>
    <row r="940" spans="6:6" x14ac:dyDescent="0.25">
      <c r="F940" s="26"/>
    </row>
    <row r="941" spans="6:6" x14ac:dyDescent="0.25">
      <c r="F941" s="26"/>
    </row>
    <row r="942" spans="6:6" x14ac:dyDescent="0.25">
      <c r="F942" s="26"/>
    </row>
    <row r="943" spans="6:6" x14ac:dyDescent="0.25">
      <c r="F943" s="26"/>
    </row>
    <row r="944" spans="6:6" x14ac:dyDescent="0.25">
      <c r="F944" s="26"/>
    </row>
    <row r="945" spans="6:6" x14ac:dyDescent="0.25">
      <c r="F945" s="26"/>
    </row>
    <row r="946" spans="6:6" x14ac:dyDescent="0.25">
      <c r="F946" s="26"/>
    </row>
    <row r="947" spans="6:6" x14ac:dyDescent="0.25">
      <c r="F947" s="26"/>
    </row>
    <row r="948" spans="6:6" x14ac:dyDescent="0.25">
      <c r="F948" s="26"/>
    </row>
    <row r="949" spans="6:6" x14ac:dyDescent="0.25">
      <c r="F949" s="26"/>
    </row>
    <row r="950" spans="6:6" x14ac:dyDescent="0.25">
      <c r="F950" s="26"/>
    </row>
    <row r="951" spans="6:6" x14ac:dyDescent="0.25">
      <c r="F951" s="26"/>
    </row>
    <row r="952" spans="6:6" x14ac:dyDescent="0.25">
      <c r="F952" s="26"/>
    </row>
    <row r="953" spans="6:6" x14ac:dyDescent="0.25">
      <c r="F953" s="26"/>
    </row>
    <row r="954" spans="6:6" x14ac:dyDescent="0.25">
      <c r="F954" s="26"/>
    </row>
    <row r="955" spans="6:6" x14ac:dyDescent="0.25">
      <c r="F955" s="26"/>
    </row>
    <row r="956" spans="6:6" x14ac:dyDescent="0.25">
      <c r="F956" s="26"/>
    </row>
    <row r="957" spans="6:6" x14ac:dyDescent="0.25">
      <c r="F957" s="26"/>
    </row>
    <row r="958" spans="6:6" x14ac:dyDescent="0.25">
      <c r="F958" s="26"/>
    </row>
    <row r="959" spans="6:6" x14ac:dyDescent="0.25">
      <c r="F959" s="26"/>
    </row>
    <row r="960" spans="6:6" x14ac:dyDescent="0.25">
      <c r="F960" s="26"/>
    </row>
    <row r="961" spans="6:6" x14ac:dyDescent="0.25">
      <c r="F961" s="26"/>
    </row>
    <row r="962" spans="6:6" x14ac:dyDescent="0.25">
      <c r="F962" s="26"/>
    </row>
    <row r="963" spans="6:6" x14ac:dyDescent="0.25">
      <c r="F963" s="26"/>
    </row>
    <row r="964" spans="6:6" x14ac:dyDescent="0.25">
      <c r="F964" s="26"/>
    </row>
    <row r="965" spans="6:6" x14ac:dyDescent="0.25">
      <c r="F965" s="26"/>
    </row>
    <row r="966" spans="6:6" x14ac:dyDescent="0.25">
      <c r="F966" s="26"/>
    </row>
    <row r="967" spans="6:6" x14ac:dyDescent="0.25">
      <c r="F967" s="26"/>
    </row>
    <row r="968" spans="6:6" x14ac:dyDescent="0.25">
      <c r="F968" s="26"/>
    </row>
    <row r="969" spans="6:6" x14ac:dyDescent="0.25">
      <c r="F969" s="26"/>
    </row>
    <row r="970" spans="6:6" x14ac:dyDescent="0.25">
      <c r="F970" s="26"/>
    </row>
    <row r="971" spans="6:6" x14ac:dyDescent="0.25">
      <c r="F971" s="26"/>
    </row>
    <row r="972" spans="6:6" x14ac:dyDescent="0.25">
      <c r="F972" s="26"/>
    </row>
    <row r="973" spans="6:6" x14ac:dyDescent="0.25">
      <c r="F973" s="26"/>
    </row>
    <row r="974" spans="6:6" x14ac:dyDescent="0.25">
      <c r="F974" s="26"/>
    </row>
    <row r="975" spans="6:6" x14ac:dyDescent="0.25">
      <c r="F975" s="26"/>
    </row>
    <row r="976" spans="6:6" x14ac:dyDescent="0.25">
      <c r="F976" s="26"/>
    </row>
    <row r="977" spans="6:6" x14ac:dyDescent="0.25">
      <c r="F977" s="26"/>
    </row>
    <row r="978" spans="6:6" x14ac:dyDescent="0.25">
      <c r="F978" s="26"/>
    </row>
    <row r="979" spans="6:6" x14ac:dyDescent="0.25">
      <c r="F979" s="26"/>
    </row>
    <row r="980" spans="6:6" x14ac:dyDescent="0.25">
      <c r="F980" s="26"/>
    </row>
    <row r="981" spans="6:6" x14ac:dyDescent="0.25">
      <c r="F981" s="26"/>
    </row>
    <row r="982" spans="6:6" x14ac:dyDescent="0.25">
      <c r="F982" s="26"/>
    </row>
    <row r="983" spans="6:6" x14ac:dyDescent="0.25">
      <c r="F983" s="26"/>
    </row>
    <row r="984" spans="6:6" x14ac:dyDescent="0.25">
      <c r="F984" s="26"/>
    </row>
    <row r="985" spans="6:6" x14ac:dyDescent="0.25">
      <c r="F985" s="26"/>
    </row>
    <row r="986" spans="6:6" x14ac:dyDescent="0.25">
      <c r="F986" s="26"/>
    </row>
    <row r="987" spans="6:6" x14ac:dyDescent="0.25">
      <c r="F987" s="26"/>
    </row>
    <row r="988" spans="6:6" x14ac:dyDescent="0.25">
      <c r="F988" s="26"/>
    </row>
    <row r="989" spans="6:6" x14ac:dyDescent="0.25">
      <c r="F989" s="26"/>
    </row>
    <row r="990" spans="6:6" x14ac:dyDescent="0.25">
      <c r="F990" s="26"/>
    </row>
    <row r="991" spans="6:6" x14ac:dyDescent="0.25">
      <c r="F991" s="26"/>
    </row>
    <row r="992" spans="6:6" x14ac:dyDescent="0.25">
      <c r="F992" s="26"/>
    </row>
    <row r="993" spans="6:6" x14ac:dyDescent="0.25">
      <c r="F993" s="26"/>
    </row>
    <row r="994" spans="6:6" x14ac:dyDescent="0.25">
      <c r="F994" s="26"/>
    </row>
    <row r="995" spans="6:6" x14ac:dyDescent="0.25">
      <c r="F995" s="26"/>
    </row>
    <row r="996" spans="6:6" x14ac:dyDescent="0.25">
      <c r="F996" s="26"/>
    </row>
    <row r="997" spans="6:6" x14ac:dyDescent="0.25">
      <c r="F997" s="26"/>
    </row>
    <row r="998" spans="6:6" x14ac:dyDescent="0.25">
      <c r="F998" s="26"/>
    </row>
    <row r="999" spans="6:6" x14ac:dyDescent="0.25">
      <c r="F999" s="26"/>
    </row>
    <row r="1000" spans="6:6" x14ac:dyDescent="0.25">
      <c r="F1000" s="26"/>
    </row>
    <row r="1001" spans="6:6" x14ac:dyDescent="0.25">
      <c r="F1001" s="26"/>
    </row>
    <row r="1002" spans="6:6" x14ac:dyDescent="0.25">
      <c r="F1002" s="26"/>
    </row>
    <row r="1003" spans="6:6" x14ac:dyDescent="0.25">
      <c r="F1003" s="26"/>
    </row>
    <row r="1004" spans="6:6" x14ac:dyDescent="0.25">
      <c r="F1004" s="26"/>
    </row>
    <row r="1005" spans="6:6" x14ac:dyDescent="0.25">
      <c r="F1005" s="26"/>
    </row>
    <row r="1006" spans="6:6" x14ac:dyDescent="0.25">
      <c r="F1006" s="26"/>
    </row>
    <row r="1007" spans="6:6" x14ac:dyDescent="0.25">
      <c r="F1007" s="26"/>
    </row>
    <row r="1008" spans="6:6" x14ac:dyDescent="0.25">
      <c r="F1008" s="26"/>
    </row>
    <row r="1009" spans="6:6" x14ac:dyDescent="0.25">
      <c r="F1009" s="26"/>
    </row>
    <row r="1010" spans="6:6" x14ac:dyDescent="0.25">
      <c r="F1010" s="26"/>
    </row>
    <row r="1011" spans="6:6" x14ac:dyDescent="0.25">
      <c r="F1011" s="26"/>
    </row>
    <row r="1012" spans="6:6" x14ac:dyDescent="0.25">
      <c r="F1012" s="26"/>
    </row>
    <row r="1013" spans="6:6" x14ac:dyDescent="0.25">
      <c r="F1013" s="26"/>
    </row>
    <row r="1014" spans="6:6" x14ac:dyDescent="0.25">
      <c r="F1014" s="26"/>
    </row>
    <row r="1015" spans="6:6" x14ac:dyDescent="0.25">
      <c r="F1015" s="26"/>
    </row>
    <row r="1016" spans="6:6" x14ac:dyDescent="0.25">
      <c r="F1016" s="26"/>
    </row>
    <row r="1017" spans="6:6" x14ac:dyDescent="0.25">
      <c r="F1017" s="26"/>
    </row>
    <row r="1018" spans="6:6" x14ac:dyDescent="0.25">
      <c r="F1018" s="26"/>
    </row>
    <row r="1019" spans="6:6" x14ac:dyDescent="0.25">
      <c r="F1019" s="26"/>
    </row>
    <row r="1020" spans="6:6" x14ac:dyDescent="0.25">
      <c r="F1020" s="26"/>
    </row>
    <row r="1021" spans="6:6" x14ac:dyDescent="0.25">
      <c r="F1021" s="26"/>
    </row>
    <row r="1022" spans="6:6" x14ac:dyDescent="0.25">
      <c r="F1022" s="26"/>
    </row>
    <row r="1023" spans="6:6" x14ac:dyDescent="0.25">
      <c r="F1023" s="26"/>
    </row>
    <row r="1024" spans="6:6" x14ac:dyDescent="0.25">
      <c r="F1024" s="26"/>
    </row>
    <row r="1025" spans="6:6" x14ac:dyDescent="0.25">
      <c r="F1025" s="26"/>
    </row>
    <row r="1026" spans="6:6" x14ac:dyDescent="0.25">
      <c r="F1026" s="26"/>
    </row>
    <row r="1027" spans="6:6" x14ac:dyDescent="0.25">
      <c r="F1027" s="26"/>
    </row>
    <row r="1028" spans="6:6" x14ac:dyDescent="0.25">
      <c r="F1028" s="26"/>
    </row>
    <row r="1029" spans="6:6" x14ac:dyDescent="0.25">
      <c r="F1029" s="26"/>
    </row>
    <row r="1030" spans="6:6" x14ac:dyDescent="0.25">
      <c r="F1030" s="26"/>
    </row>
    <row r="1031" spans="6:6" x14ac:dyDescent="0.25">
      <c r="F1031" s="26"/>
    </row>
    <row r="1032" spans="6:6" x14ac:dyDescent="0.25">
      <c r="F1032" s="26"/>
    </row>
    <row r="1033" spans="6:6" x14ac:dyDescent="0.25">
      <c r="F1033" s="26"/>
    </row>
    <row r="1034" spans="6:6" x14ac:dyDescent="0.25">
      <c r="F1034" s="26"/>
    </row>
    <row r="1035" spans="6:6" x14ac:dyDescent="0.25">
      <c r="F1035" s="26"/>
    </row>
    <row r="1036" spans="6:6" x14ac:dyDescent="0.25">
      <c r="F1036" s="26"/>
    </row>
    <row r="1037" spans="6:6" x14ac:dyDescent="0.25">
      <c r="F1037" s="26"/>
    </row>
    <row r="1038" spans="6:6" x14ac:dyDescent="0.25">
      <c r="F1038" s="26"/>
    </row>
    <row r="1039" spans="6:6" x14ac:dyDescent="0.25">
      <c r="F1039" s="26"/>
    </row>
    <row r="1040" spans="6:6" x14ac:dyDescent="0.25">
      <c r="F1040" s="26"/>
    </row>
    <row r="1041" spans="6:6" x14ac:dyDescent="0.25">
      <c r="F1041" s="26"/>
    </row>
    <row r="1042" spans="6:6" x14ac:dyDescent="0.25">
      <c r="F1042" s="26"/>
    </row>
    <row r="1043" spans="6:6" x14ac:dyDescent="0.25">
      <c r="F1043" s="26"/>
    </row>
    <row r="1044" spans="6:6" x14ac:dyDescent="0.25">
      <c r="F1044" s="26"/>
    </row>
    <row r="1045" spans="6:6" x14ac:dyDescent="0.25">
      <c r="F1045" s="26"/>
    </row>
    <row r="1046" spans="6:6" x14ac:dyDescent="0.25">
      <c r="F1046" s="26"/>
    </row>
    <row r="1047" spans="6:6" x14ac:dyDescent="0.25">
      <c r="F1047" s="26"/>
    </row>
    <row r="1048" spans="6:6" x14ac:dyDescent="0.25">
      <c r="F1048" s="26"/>
    </row>
    <row r="1049" spans="6:6" x14ac:dyDescent="0.25">
      <c r="F1049" s="26"/>
    </row>
    <row r="1050" spans="6:6" x14ac:dyDescent="0.25">
      <c r="F1050" s="26"/>
    </row>
    <row r="1051" spans="6:6" x14ac:dyDescent="0.25">
      <c r="F1051" s="26"/>
    </row>
    <row r="1052" spans="6:6" x14ac:dyDescent="0.25">
      <c r="F1052" s="26"/>
    </row>
    <row r="1053" spans="6:6" x14ac:dyDescent="0.25">
      <c r="F1053" s="26"/>
    </row>
    <row r="1054" spans="6:6" x14ac:dyDescent="0.25">
      <c r="F1054" s="26"/>
    </row>
    <row r="1055" spans="6:6" x14ac:dyDescent="0.25">
      <c r="F1055" s="26"/>
    </row>
    <row r="1056" spans="6:6" x14ac:dyDescent="0.25">
      <c r="F1056" s="26"/>
    </row>
    <row r="1057" spans="6:6" x14ac:dyDescent="0.25">
      <c r="F1057" s="26"/>
    </row>
    <row r="1058" spans="6:6" x14ac:dyDescent="0.25">
      <c r="F1058" s="26"/>
    </row>
    <row r="1059" spans="6:6" x14ac:dyDescent="0.25">
      <c r="F1059" s="26"/>
    </row>
    <row r="1060" spans="6:6" x14ac:dyDescent="0.25">
      <c r="F1060" s="26"/>
    </row>
    <row r="1061" spans="6:6" x14ac:dyDescent="0.25">
      <c r="F1061" s="26"/>
    </row>
    <row r="1062" spans="6:6" x14ac:dyDescent="0.25">
      <c r="F1062" s="26"/>
    </row>
    <row r="1063" spans="6:6" x14ac:dyDescent="0.25">
      <c r="F1063" s="26"/>
    </row>
    <row r="1064" spans="6:6" x14ac:dyDescent="0.25">
      <c r="F1064" s="26"/>
    </row>
    <row r="1065" spans="6:6" x14ac:dyDescent="0.25">
      <c r="F1065" s="26"/>
    </row>
    <row r="1066" spans="6:6" x14ac:dyDescent="0.25">
      <c r="F1066" s="26"/>
    </row>
    <row r="1067" spans="6:6" x14ac:dyDescent="0.25">
      <c r="F1067" s="26"/>
    </row>
    <row r="1068" spans="6:6" x14ac:dyDescent="0.25">
      <c r="F1068" s="26"/>
    </row>
    <row r="1069" spans="6:6" x14ac:dyDescent="0.25">
      <c r="F1069" s="26"/>
    </row>
    <row r="1070" spans="6:6" x14ac:dyDescent="0.25">
      <c r="F1070" s="26"/>
    </row>
    <row r="1071" spans="6:6" x14ac:dyDescent="0.25">
      <c r="F1071" s="26"/>
    </row>
    <row r="1072" spans="6:6" x14ac:dyDescent="0.25">
      <c r="F1072" s="26"/>
    </row>
    <row r="1073" spans="6:6" x14ac:dyDescent="0.25">
      <c r="F1073" s="26"/>
    </row>
    <row r="1074" spans="6:6" x14ac:dyDescent="0.25">
      <c r="F1074" s="26"/>
    </row>
    <row r="1075" spans="6:6" x14ac:dyDescent="0.25">
      <c r="F1075" s="26"/>
    </row>
    <row r="1076" spans="6:6" x14ac:dyDescent="0.25">
      <c r="F1076" s="26"/>
    </row>
    <row r="1077" spans="6:6" x14ac:dyDescent="0.25">
      <c r="F1077" s="26"/>
    </row>
    <row r="1078" spans="6:6" x14ac:dyDescent="0.25">
      <c r="F1078" s="26"/>
    </row>
    <row r="1079" spans="6:6" x14ac:dyDescent="0.25">
      <c r="F1079" s="26"/>
    </row>
    <row r="1080" spans="6:6" x14ac:dyDescent="0.25">
      <c r="F1080" s="26"/>
    </row>
    <row r="1081" spans="6:6" x14ac:dyDescent="0.25">
      <c r="F1081" s="26"/>
    </row>
    <row r="1082" spans="6:6" x14ac:dyDescent="0.25">
      <c r="F1082" s="26"/>
    </row>
    <row r="1083" spans="6:6" x14ac:dyDescent="0.25">
      <c r="F1083" s="26"/>
    </row>
    <row r="1084" spans="6:6" x14ac:dyDescent="0.25">
      <c r="F1084" s="26"/>
    </row>
    <row r="1085" spans="6:6" x14ac:dyDescent="0.25">
      <c r="F1085" s="26"/>
    </row>
    <row r="1086" spans="6:6" x14ac:dyDescent="0.25">
      <c r="F1086" s="26"/>
    </row>
    <row r="1087" spans="6:6" x14ac:dyDescent="0.25">
      <c r="F1087" s="26"/>
    </row>
    <row r="1088" spans="6:6" x14ac:dyDescent="0.25">
      <c r="F1088" s="26"/>
    </row>
    <row r="1089" spans="6:6" x14ac:dyDescent="0.25">
      <c r="F1089" s="26"/>
    </row>
    <row r="1090" spans="6:6" x14ac:dyDescent="0.25">
      <c r="F1090" s="26"/>
    </row>
    <row r="1091" spans="6:6" x14ac:dyDescent="0.25">
      <c r="F1091" s="26"/>
    </row>
    <row r="1092" spans="6:6" x14ac:dyDescent="0.25">
      <c r="F1092" s="26"/>
    </row>
    <row r="1093" spans="6:6" x14ac:dyDescent="0.25">
      <c r="F1093" s="26"/>
    </row>
    <row r="1094" spans="6:6" x14ac:dyDescent="0.25">
      <c r="F1094" s="26"/>
    </row>
    <row r="1095" spans="6:6" x14ac:dyDescent="0.25">
      <c r="F1095" s="26"/>
    </row>
    <row r="1096" spans="6:6" x14ac:dyDescent="0.25">
      <c r="F1096" s="26"/>
    </row>
    <row r="1097" spans="6:6" x14ac:dyDescent="0.25">
      <c r="F1097" s="26"/>
    </row>
    <row r="1098" spans="6:6" x14ac:dyDescent="0.25">
      <c r="F1098" s="26"/>
    </row>
    <row r="1099" spans="6:6" x14ac:dyDescent="0.25">
      <c r="F1099" s="26"/>
    </row>
    <row r="1100" spans="6:6" x14ac:dyDescent="0.25">
      <c r="F1100" s="26"/>
    </row>
    <row r="1101" spans="6:6" x14ac:dyDescent="0.25">
      <c r="F1101" s="26"/>
    </row>
    <row r="1102" spans="6:6" x14ac:dyDescent="0.25">
      <c r="F1102" s="26"/>
    </row>
    <row r="1103" spans="6:6" x14ac:dyDescent="0.25">
      <c r="F1103" s="26"/>
    </row>
    <row r="1104" spans="6:6" x14ac:dyDescent="0.25">
      <c r="F1104" s="26"/>
    </row>
    <row r="1105" spans="6:6" x14ac:dyDescent="0.25">
      <c r="F1105" s="26"/>
    </row>
    <row r="1106" spans="6:6" x14ac:dyDescent="0.25">
      <c r="F1106" s="26"/>
    </row>
    <row r="1107" spans="6:6" x14ac:dyDescent="0.25">
      <c r="F1107" s="26"/>
    </row>
    <row r="1108" spans="6:6" x14ac:dyDescent="0.25">
      <c r="F1108" s="26"/>
    </row>
    <row r="1109" spans="6:6" x14ac:dyDescent="0.25">
      <c r="F1109" s="26"/>
    </row>
    <row r="1110" spans="6:6" x14ac:dyDescent="0.25">
      <c r="F1110" s="26"/>
    </row>
    <row r="1111" spans="6:6" x14ac:dyDescent="0.25">
      <c r="F1111" s="26"/>
    </row>
    <row r="1112" spans="6:6" x14ac:dyDescent="0.25">
      <c r="F1112" s="26"/>
    </row>
    <row r="1113" spans="6:6" x14ac:dyDescent="0.25">
      <c r="F1113" s="26"/>
    </row>
    <row r="1114" spans="6:6" x14ac:dyDescent="0.25">
      <c r="F1114" s="26"/>
    </row>
    <row r="1115" spans="6:6" x14ac:dyDescent="0.25">
      <c r="F1115" s="26"/>
    </row>
    <row r="1116" spans="6:6" x14ac:dyDescent="0.25">
      <c r="F1116" s="26"/>
    </row>
    <row r="1117" spans="6:6" x14ac:dyDescent="0.25">
      <c r="F1117" s="26"/>
    </row>
    <row r="1118" spans="6:6" x14ac:dyDescent="0.25">
      <c r="F1118" s="26"/>
    </row>
    <row r="1119" spans="6:6" x14ac:dyDescent="0.25">
      <c r="F1119" s="26"/>
    </row>
    <row r="1120" spans="6:6" x14ac:dyDescent="0.25">
      <c r="F1120" s="26"/>
    </row>
    <row r="1121" spans="6:6" x14ac:dyDescent="0.25">
      <c r="F1121" s="26"/>
    </row>
    <row r="1122" spans="6:6" x14ac:dyDescent="0.25">
      <c r="F1122" s="26"/>
    </row>
    <row r="1123" spans="6:6" x14ac:dyDescent="0.25">
      <c r="F1123" s="26"/>
    </row>
    <row r="1124" spans="6:6" x14ac:dyDescent="0.25">
      <c r="F1124" s="26"/>
    </row>
    <row r="1125" spans="6:6" x14ac:dyDescent="0.25">
      <c r="F1125" s="26"/>
    </row>
    <row r="1126" spans="6:6" x14ac:dyDescent="0.25">
      <c r="F1126" s="26"/>
    </row>
    <row r="1127" spans="6:6" x14ac:dyDescent="0.25">
      <c r="F1127" s="26"/>
    </row>
    <row r="1128" spans="6:6" x14ac:dyDescent="0.25">
      <c r="F1128" s="26"/>
    </row>
    <row r="1129" spans="6:6" x14ac:dyDescent="0.25">
      <c r="F1129" s="26"/>
    </row>
    <row r="1130" spans="6:6" x14ac:dyDescent="0.25">
      <c r="F1130" s="26"/>
    </row>
    <row r="1131" spans="6:6" x14ac:dyDescent="0.25">
      <c r="F1131" s="26"/>
    </row>
    <row r="1132" spans="6:6" x14ac:dyDescent="0.25">
      <c r="F1132" s="26"/>
    </row>
    <row r="1133" spans="6:6" x14ac:dyDescent="0.25">
      <c r="F1133" s="26"/>
    </row>
    <row r="1134" spans="6:6" x14ac:dyDescent="0.25">
      <c r="F1134" s="26"/>
    </row>
    <row r="1135" spans="6:6" x14ac:dyDescent="0.25">
      <c r="F1135" s="26"/>
    </row>
    <row r="1136" spans="6:6" x14ac:dyDescent="0.25">
      <c r="F1136" s="26"/>
    </row>
    <row r="1137" spans="6:6" x14ac:dyDescent="0.25">
      <c r="F1137" s="26"/>
    </row>
    <row r="1138" spans="6:6" x14ac:dyDescent="0.25">
      <c r="F1138" s="26"/>
    </row>
    <row r="1139" spans="6:6" x14ac:dyDescent="0.25">
      <c r="F1139" s="26"/>
    </row>
    <row r="1140" spans="6:6" x14ac:dyDescent="0.25">
      <c r="F1140" s="26"/>
    </row>
    <row r="1141" spans="6:6" x14ac:dyDescent="0.25">
      <c r="F1141" s="26"/>
    </row>
    <row r="1142" spans="6:6" x14ac:dyDescent="0.25">
      <c r="F1142" s="26"/>
    </row>
    <row r="1143" spans="6:6" x14ac:dyDescent="0.25">
      <c r="F1143" s="26"/>
    </row>
    <row r="1144" spans="6:6" x14ac:dyDescent="0.25">
      <c r="F1144" s="26"/>
    </row>
    <row r="1145" spans="6:6" x14ac:dyDescent="0.25">
      <c r="F1145" s="26"/>
    </row>
    <row r="1146" spans="6:6" x14ac:dyDescent="0.25">
      <c r="F1146" s="26"/>
    </row>
    <row r="1147" spans="6:6" x14ac:dyDescent="0.25">
      <c r="F1147" s="26"/>
    </row>
    <row r="1148" spans="6:6" x14ac:dyDescent="0.25">
      <c r="F1148" s="26"/>
    </row>
    <row r="1149" spans="6:6" x14ac:dyDescent="0.25">
      <c r="F1149" s="26"/>
    </row>
    <row r="1150" spans="6:6" x14ac:dyDescent="0.25">
      <c r="F1150" s="26"/>
    </row>
    <row r="1151" spans="6:6" x14ac:dyDescent="0.25">
      <c r="F1151" s="26"/>
    </row>
    <row r="1152" spans="6:6" x14ac:dyDescent="0.25">
      <c r="F1152" s="26"/>
    </row>
    <row r="1153" spans="6:6" x14ac:dyDescent="0.25">
      <c r="F1153" s="26"/>
    </row>
    <row r="1154" spans="6:6" x14ac:dyDescent="0.25">
      <c r="F1154" s="26"/>
    </row>
    <row r="1155" spans="6:6" x14ac:dyDescent="0.25">
      <c r="F1155" s="26"/>
    </row>
    <row r="1156" spans="6:6" x14ac:dyDescent="0.25">
      <c r="F1156" s="26"/>
    </row>
    <row r="1157" spans="6:6" x14ac:dyDescent="0.25">
      <c r="F1157" s="26"/>
    </row>
    <row r="1158" spans="6:6" x14ac:dyDescent="0.25">
      <c r="F1158" s="26"/>
    </row>
    <row r="1159" spans="6:6" x14ac:dyDescent="0.25">
      <c r="F1159" s="26"/>
    </row>
    <row r="1160" spans="6:6" x14ac:dyDescent="0.25">
      <c r="F1160" s="26"/>
    </row>
    <row r="1161" spans="6:6" x14ac:dyDescent="0.25">
      <c r="F1161" s="26"/>
    </row>
    <row r="1162" spans="6:6" x14ac:dyDescent="0.25">
      <c r="F1162" s="26"/>
    </row>
    <row r="1163" spans="6:6" x14ac:dyDescent="0.25">
      <c r="F1163" s="26"/>
    </row>
    <row r="1164" spans="6:6" x14ac:dyDescent="0.25">
      <c r="F1164" s="26"/>
    </row>
    <row r="1165" spans="6:6" x14ac:dyDescent="0.25">
      <c r="F1165" s="26"/>
    </row>
    <row r="1166" spans="6:6" x14ac:dyDescent="0.25">
      <c r="F1166" s="26"/>
    </row>
    <row r="1167" spans="6:6" x14ac:dyDescent="0.25">
      <c r="F1167" s="26"/>
    </row>
    <row r="1168" spans="6:6" x14ac:dyDescent="0.25">
      <c r="F1168" s="26"/>
    </row>
    <row r="1169" spans="6:6" x14ac:dyDescent="0.25">
      <c r="F1169" s="26"/>
    </row>
    <row r="1170" spans="6:6" x14ac:dyDescent="0.25">
      <c r="F1170" s="26"/>
    </row>
    <row r="1171" spans="6:6" x14ac:dyDescent="0.25">
      <c r="F1171" s="26"/>
    </row>
    <row r="1172" spans="6:6" x14ac:dyDescent="0.25">
      <c r="F1172" s="26"/>
    </row>
    <row r="1173" spans="6:6" x14ac:dyDescent="0.25">
      <c r="F1173" s="26"/>
    </row>
    <row r="1174" spans="6:6" x14ac:dyDescent="0.25">
      <c r="F1174" s="26"/>
    </row>
    <row r="1175" spans="6:6" x14ac:dyDescent="0.25">
      <c r="F1175" s="2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9"/>
  <sheetViews>
    <sheetView workbookViewId="0">
      <selection activeCell="G1" sqref="G1:G1048576"/>
    </sheetView>
  </sheetViews>
  <sheetFormatPr defaultRowHeight="15" x14ac:dyDescent="0.25"/>
  <cols>
    <col min="1" max="1" width="24.7109375" customWidth="1"/>
    <col min="2" max="2" width="16.28515625" customWidth="1"/>
    <col min="3" max="3" width="14.85546875" customWidth="1"/>
    <col min="4" max="5" width="13.85546875" style="1" customWidth="1"/>
    <col min="6" max="6" width="12.7109375" customWidth="1"/>
    <col min="7" max="7" width="14.140625" customWidth="1"/>
  </cols>
  <sheetData>
    <row r="1" spans="1:10" x14ac:dyDescent="0.25">
      <c r="A1" s="1" t="s">
        <v>0</v>
      </c>
      <c r="B1" s="1"/>
      <c r="F1" s="1"/>
      <c r="G1" s="1"/>
    </row>
    <row r="3" spans="1:10" x14ac:dyDescent="0.25">
      <c r="A3" s="1" t="s">
        <v>116</v>
      </c>
      <c r="B3" s="1"/>
      <c r="C3" t="s">
        <v>117</v>
      </c>
      <c r="D3" s="2" t="s">
        <v>1</v>
      </c>
      <c r="E3" s="2" t="s">
        <v>120</v>
      </c>
      <c r="G3" s="61" t="s">
        <v>167</v>
      </c>
    </row>
    <row r="5" spans="1:10" x14ac:dyDescent="0.25">
      <c r="A5" s="1" t="s">
        <v>2</v>
      </c>
      <c r="B5" s="1" t="s">
        <v>3</v>
      </c>
      <c r="C5">
        <f>SUM(50700+400+1200)</f>
        <v>52300</v>
      </c>
      <c r="D5" s="1">
        <f>93600+4000+96000</f>
        <v>193600</v>
      </c>
      <c r="E5" s="1">
        <f>750+14400</f>
        <v>15150</v>
      </c>
      <c r="F5" s="1"/>
      <c r="G5" s="1" t="s">
        <v>168</v>
      </c>
      <c r="H5" s="1"/>
      <c r="I5" s="1"/>
      <c r="J5" s="1"/>
    </row>
    <row r="6" spans="1:10" x14ac:dyDescent="0.25">
      <c r="A6" s="1"/>
      <c r="B6" s="1" t="s">
        <v>4</v>
      </c>
      <c r="D6" s="1">
        <v>70400</v>
      </c>
      <c r="F6" s="1"/>
      <c r="G6" s="1"/>
      <c r="H6" s="1"/>
      <c r="I6" s="1"/>
      <c r="J6" s="1"/>
    </row>
    <row r="7" spans="1:10" x14ac:dyDescent="0.25">
      <c r="A7" s="1"/>
      <c r="B7" s="1" t="s">
        <v>5</v>
      </c>
      <c r="D7" s="1">
        <f>12500+15000+8000+4000+3000</f>
        <v>42500</v>
      </c>
      <c r="E7" s="1">
        <v>13000</v>
      </c>
      <c r="F7" s="1"/>
      <c r="G7" s="1"/>
      <c r="H7" s="1"/>
      <c r="I7" s="1"/>
      <c r="J7" s="1"/>
    </row>
    <row r="8" spans="1:10" x14ac:dyDescent="0.25">
      <c r="H8" s="1"/>
      <c r="I8" s="1"/>
      <c r="J8" s="1"/>
    </row>
    <row r="9" spans="1:10" x14ac:dyDescent="0.25">
      <c r="A9" s="1" t="s">
        <v>6</v>
      </c>
      <c r="B9" s="1" t="s">
        <v>3</v>
      </c>
      <c r="C9">
        <f>600+560</f>
        <v>1160</v>
      </c>
      <c r="D9" s="1">
        <f>1700+4000+6300+10000+4200+1500+2000</f>
        <v>29700</v>
      </c>
      <c r="F9" s="1"/>
      <c r="G9" s="1"/>
      <c r="H9" s="1"/>
      <c r="I9" s="1"/>
      <c r="J9" s="1"/>
    </row>
    <row r="10" spans="1:10" x14ac:dyDescent="0.25">
      <c r="A10" s="1"/>
      <c r="B10" s="1" t="s">
        <v>5</v>
      </c>
      <c r="C10">
        <v>1500</v>
      </c>
      <c r="D10" s="1">
        <f>9000+500+1700+3000+6000+4000+5000+500</f>
        <v>29700</v>
      </c>
      <c r="F10" s="1"/>
      <c r="G10" s="1" t="s">
        <v>162</v>
      </c>
      <c r="H10" s="1"/>
      <c r="I10" s="1"/>
      <c r="J10" s="1"/>
    </row>
    <row r="11" spans="1:10" x14ac:dyDescent="0.25">
      <c r="A11" s="1"/>
      <c r="B11" s="1" t="s">
        <v>7</v>
      </c>
      <c r="D11" s="1">
        <v>2500</v>
      </c>
      <c r="F11" s="1"/>
      <c r="G11" s="1"/>
      <c r="H11" s="1"/>
      <c r="I11" s="1"/>
      <c r="J11" s="1"/>
    </row>
    <row r="12" spans="1:10" x14ac:dyDescent="0.25">
      <c r="H12" s="1"/>
      <c r="I12" s="1"/>
      <c r="J12" s="1"/>
    </row>
    <row r="13" spans="1:10" x14ac:dyDescent="0.25">
      <c r="A13" s="1" t="s">
        <v>8</v>
      </c>
      <c r="B13" s="1" t="s">
        <v>3</v>
      </c>
      <c r="F13" s="1"/>
      <c r="G13" s="1"/>
      <c r="H13" s="1"/>
      <c r="I13" s="1"/>
      <c r="J13" s="1"/>
    </row>
    <row r="14" spans="1:10" x14ac:dyDescent="0.25">
      <c r="A14" s="1"/>
      <c r="B14" s="1" t="s">
        <v>5</v>
      </c>
      <c r="C14">
        <f>14100+3000</f>
        <v>17100</v>
      </c>
      <c r="D14" s="1">
        <f>14100+8500+40000+3500+50000+16000+5000+6800+11300</f>
        <v>155200</v>
      </c>
      <c r="E14" s="1">
        <f>13800+3538</f>
        <v>17338</v>
      </c>
      <c r="F14" s="1"/>
      <c r="G14" s="1" t="s">
        <v>163</v>
      </c>
      <c r="H14" s="1"/>
      <c r="I14" s="1"/>
      <c r="J14" s="1"/>
    </row>
    <row r="15" spans="1:10" x14ac:dyDescent="0.25">
      <c r="H15" s="1"/>
      <c r="I15" s="1"/>
      <c r="J15" s="1"/>
    </row>
    <row r="16" spans="1:10" x14ac:dyDescent="0.25">
      <c r="A16" s="1" t="s">
        <v>9</v>
      </c>
      <c r="B16" s="1" t="s">
        <v>3</v>
      </c>
      <c r="C16">
        <v>8200</v>
      </c>
      <c r="D16" s="1">
        <v>49000</v>
      </c>
      <c r="E16" s="1">
        <f>3660</f>
        <v>3660</v>
      </c>
      <c r="F16" s="1"/>
      <c r="G16" s="1"/>
      <c r="H16" s="1"/>
      <c r="I16" s="1"/>
      <c r="J16" s="1"/>
    </row>
    <row r="17" spans="1:10" x14ac:dyDescent="0.25">
      <c r="A17" s="1"/>
      <c r="B17" s="1" t="s">
        <v>5</v>
      </c>
      <c r="D17" s="1">
        <f>1500</f>
        <v>1500</v>
      </c>
      <c r="E17" s="1">
        <f>870</f>
        <v>870</v>
      </c>
      <c r="F17" s="1"/>
      <c r="G17" s="1"/>
      <c r="H17" s="1"/>
      <c r="I17" s="1"/>
      <c r="J17" s="1"/>
    </row>
    <row r="18" spans="1:10" x14ac:dyDescent="0.25">
      <c r="A18" s="1"/>
      <c r="B18" s="1" t="s">
        <v>10</v>
      </c>
      <c r="C18">
        <v>4329</v>
      </c>
      <c r="D18" s="1">
        <v>7500</v>
      </c>
      <c r="E18" s="1">
        <f>4006</f>
        <v>4006</v>
      </c>
      <c r="F18" s="1"/>
      <c r="G18" s="1" t="s">
        <v>164</v>
      </c>
      <c r="H18" s="1"/>
      <c r="I18" s="1"/>
      <c r="J18" s="1"/>
    </row>
    <row r="19" spans="1:10" x14ac:dyDescent="0.25">
      <c r="H19" s="1"/>
      <c r="I19" s="1"/>
      <c r="J19" s="1"/>
    </row>
    <row r="20" spans="1:10" ht="30" customHeight="1" x14ac:dyDescent="0.25">
      <c r="A20" s="4" t="s">
        <v>16</v>
      </c>
      <c r="B20" s="1" t="s">
        <v>5</v>
      </c>
      <c r="C20">
        <f>997</f>
        <v>997</v>
      </c>
      <c r="D20" s="1">
        <f>1500+3000+4000+500+3000+2000+8000+4000+5000</f>
        <v>31000</v>
      </c>
      <c r="F20" s="1"/>
      <c r="G20" s="1" t="s">
        <v>165</v>
      </c>
      <c r="H20" s="4"/>
      <c r="I20" s="4"/>
      <c r="J20" s="4"/>
    </row>
    <row r="21" spans="1:10" x14ac:dyDescent="0.25">
      <c r="H21" s="1"/>
      <c r="I21" s="1"/>
      <c r="J21" s="1"/>
    </row>
    <row r="22" spans="1:10" x14ac:dyDescent="0.25">
      <c r="A22" s="1" t="s">
        <v>11</v>
      </c>
      <c r="B22" s="1" t="s">
        <v>3</v>
      </c>
      <c r="C22">
        <v>645</v>
      </c>
      <c r="D22" s="1">
        <v>6000</v>
      </c>
      <c r="E22" s="1">
        <f>35</f>
        <v>35</v>
      </c>
      <c r="F22" s="1"/>
      <c r="G22" s="1"/>
      <c r="H22" s="1"/>
      <c r="I22" s="1"/>
      <c r="J22" s="1"/>
    </row>
    <row r="23" spans="1:10" x14ac:dyDescent="0.25">
      <c r="A23" s="1"/>
      <c r="B23" s="1" t="s">
        <v>5</v>
      </c>
      <c r="C23">
        <v>238</v>
      </c>
      <c r="D23" s="1">
        <v>6500</v>
      </c>
      <c r="F23" s="1"/>
      <c r="G23" s="1"/>
      <c r="H23" s="1"/>
      <c r="I23" s="1"/>
      <c r="J23" s="1"/>
    </row>
    <row r="24" spans="1:10" x14ac:dyDescent="0.25">
      <c r="H24" s="1"/>
      <c r="I24" s="1"/>
      <c r="J24" s="1"/>
    </row>
    <row r="25" spans="1:10" x14ac:dyDescent="0.25">
      <c r="A25" s="1" t="s">
        <v>12</v>
      </c>
      <c r="B25" s="1" t="s">
        <v>3</v>
      </c>
      <c r="D25" s="1">
        <v>10400</v>
      </c>
      <c r="F25" s="1"/>
      <c r="G25" s="1"/>
      <c r="H25" s="1"/>
      <c r="I25" s="1"/>
      <c r="J25" s="1"/>
    </row>
    <row r="26" spans="1:10" x14ac:dyDescent="0.25">
      <c r="H26" s="1"/>
      <c r="I26" s="1"/>
      <c r="J26" s="1"/>
    </row>
    <row r="27" spans="1:10" x14ac:dyDescent="0.25">
      <c r="A27" s="1" t="s">
        <v>13</v>
      </c>
      <c r="B27" s="1" t="s">
        <v>3</v>
      </c>
      <c r="F27" s="1"/>
      <c r="G27" s="1"/>
      <c r="H27" s="1"/>
      <c r="I27" s="1"/>
      <c r="J27" s="1"/>
    </row>
    <row r="28" spans="1:10" x14ac:dyDescent="0.25">
      <c r="A28" s="1"/>
      <c r="B28" s="1" t="s">
        <v>5</v>
      </c>
      <c r="C28">
        <f>64+900</f>
        <v>964</v>
      </c>
      <c r="D28" s="1">
        <f>1000+1000+2000+200+1600+700+1500+4000</f>
        <v>12000</v>
      </c>
      <c r="E28" s="1">
        <f>60+922</f>
        <v>982</v>
      </c>
      <c r="F28" s="1"/>
      <c r="G28" s="1" t="s">
        <v>166</v>
      </c>
      <c r="H28" s="1"/>
      <c r="I28" s="1"/>
      <c r="J28" s="1"/>
    </row>
    <row r="29" spans="1:10" x14ac:dyDescent="0.25">
      <c r="H29" s="1"/>
      <c r="I29" s="1"/>
      <c r="J29" s="1"/>
    </row>
    <row r="30" spans="1:10" x14ac:dyDescent="0.25">
      <c r="A30" s="1" t="s">
        <v>14</v>
      </c>
      <c r="B30" s="1" t="s">
        <v>3</v>
      </c>
      <c r="C30">
        <f>C5+C9+C13+C16+C22+C25+C27</f>
        <v>62305</v>
      </c>
      <c r="D30" s="1">
        <f>D5+D9+D13+D16+D22+D25+D27</f>
        <v>288700</v>
      </c>
      <c r="E30" s="1">
        <f>E5+E9+E13+E16+E22+E25+E27</f>
        <v>18845</v>
      </c>
      <c r="F30" s="1"/>
      <c r="G30" s="1"/>
      <c r="H30" s="1"/>
      <c r="I30" s="1"/>
      <c r="J30" s="52"/>
    </row>
    <row r="31" spans="1:10" x14ac:dyDescent="0.25">
      <c r="A31" s="1"/>
      <c r="B31" s="1" t="s">
        <v>5</v>
      </c>
      <c r="C31">
        <f>C6+C7+C10+C11+C14+C17+C18+C20+C23+C28</f>
        <v>25128</v>
      </c>
      <c r="D31" s="1">
        <f>D6+D7+D10+D11+D14+D17+D18+D20+D23+D28</f>
        <v>358800</v>
      </c>
      <c r="E31" s="1">
        <f>E6+E7+E10+E11+E14+E17+E18+E20+E23+E28</f>
        <v>36196</v>
      </c>
      <c r="F31" s="1"/>
      <c r="G31" s="1"/>
      <c r="H31" s="1"/>
      <c r="I31" s="1"/>
      <c r="J31" s="1"/>
    </row>
    <row r="32" spans="1:10" x14ac:dyDescent="0.25">
      <c r="A32" s="1"/>
      <c r="B32" s="1"/>
      <c r="C32" s="6">
        <f>C30-C31</f>
        <v>37177</v>
      </c>
      <c r="D32" s="1">
        <f>D30-D31</f>
        <v>-70100</v>
      </c>
      <c r="E32" s="6">
        <f>E30-E31</f>
        <v>-17351</v>
      </c>
      <c r="F32" s="7"/>
      <c r="G32" s="7"/>
      <c r="H32" s="1"/>
      <c r="I32" s="1"/>
      <c r="J32" s="1"/>
    </row>
    <row r="33" spans="1:10" x14ac:dyDescent="0.25">
      <c r="G33" s="3"/>
      <c r="H33" s="1"/>
      <c r="I33" s="1"/>
      <c r="J33" s="1"/>
    </row>
    <row r="34" spans="1:10" x14ac:dyDescent="0.25">
      <c r="H34" s="1"/>
      <c r="I34" s="1"/>
      <c r="J34" s="1"/>
    </row>
    <row r="35" spans="1:10" x14ac:dyDescent="0.25">
      <c r="A35" s="1" t="s">
        <v>121</v>
      </c>
      <c r="B35" s="1"/>
      <c r="F35" s="1"/>
    </row>
    <row r="36" spans="1:10" x14ac:dyDescent="0.25">
      <c r="A36" s="1"/>
      <c r="B36" s="1"/>
      <c r="F36" s="5"/>
    </row>
    <row r="37" spans="1:10" x14ac:dyDescent="0.25">
      <c r="A37" s="1" t="s">
        <v>15</v>
      </c>
      <c r="B37" s="54">
        <v>626898</v>
      </c>
      <c r="F37" s="1"/>
    </row>
    <row r="39" spans="1:10" x14ac:dyDescent="0.25">
      <c r="A39" t="s">
        <v>169</v>
      </c>
    </row>
  </sheetData>
  <pageMargins left="0.7" right="0.7" top="0.75" bottom="0.75" header="0.3" footer="0.3"/>
  <pageSetup paperSize="9" scale="83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2"/>
  <sheetViews>
    <sheetView topLeftCell="A10" workbookViewId="0">
      <selection activeCell="C5" sqref="C5:C32"/>
    </sheetView>
  </sheetViews>
  <sheetFormatPr defaultRowHeight="15" x14ac:dyDescent="0.25"/>
  <cols>
    <col min="1" max="1" width="25.42578125" customWidth="1"/>
    <col min="2" max="2" width="18.140625" customWidth="1"/>
    <col min="3" max="3" width="13.5703125" style="62" customWidth="1"/>
    <col min="4" max="4" width="13.85546875" style="1" customWidth="1"/>
    <col min="5" max="5" width="15.28515625" style="1" customWidth="1"/>
    <col min="6" max="6" width="9.85546875" customWidth="1"/>
    <col min="7" max="7" width="9.140625" style="1"/>
    <col min="11" max="11" width="14.140625" style="1" customWidth="1"/>
  </cols>
  <sheetData>
    <row r="1" spans="1:7" x14ac:dyDescent="0.25">
      <c r="A1" s="1" t="s">
        <v>0</v>
      </c>
      <c r="B1" s="1"/>
      <c r="F1" s="1"/>
    </row>
    <row r="2" spans="1:7" x14ac:dyDescent="0.25">
      <c r="A2" s="1"/>
      <c r="B2" s="1"/>
      <c r="F2" s="1"/>
    </row>
    <row r="3" spans="1:7" x14ac:dyDescent="0.25">
      <c r="A3" s="1" t="s">
        <v>124</v>
      </c>
      <c r="B3" s="1"/>
      <c r="C3" s="62" t="s">
        <v>125</v>
      </c>
      <c r="D3" s="2" t="s">
        <v>1</v>
      </c>
      <c r="E3" s="2" t="s">
        <v>123</v>
      </c>
      <c r="G3" s="61" t="s">
        <v>167</v>
      </c>
    </row>
    <row r="4" spans="1:7" x14ac:dyDescent="0.25">
      <c r="A4" s="1"/>
      <c r="B4" s="1"/>
      <c r="F4" s="1"/>
    </row>
    <row r="5" spans="1:7" x14ac:dyDescent="0.25">
      <c r="A5" s="1" t="s">
        <v>2</v>
      </c>
      <c r="B5" s="1" t="s">
        <v>3</v>
      </c>
      <c r="C5" s="62">
        <f>SUM(59085+1000+12750)</f>
        <v>72835</v>
      </c>
      <c r="D5" s="1">
        <f>93600+4000+96000</f>
        <v>193600</v>
      </c>
      <c r="E5" s="1">
        <f>25339+900+23400</f>
        <v>49639</v>
      </c>
      <c r="F5" s="9"/>
      <c r="G5" s="1" t="s">
        <v>172</v>
      </c>
    </row>
    <row r="6" spans="1:7" x14ac:dyDescent="0.25">
      <c r="A6" s="1"/>
      <c r="B6" s="1" t="s">
        <v>4</v>
      </c>
      <c r="D6" s="1">
        <v>70400</v>
      </c>
      <c r="E6" s="1">
        <v>6100</v>
      </c>
      <c r="F6" s="9"/>
    </row>
    <row r="7" spans="1:7" x14ac:dyDescent="0.25">
      <c r="A7" s="1"/>
      <c r="B7" s="1" t="s">
        <v>5</v>
      </c>
      <c r="D7" s="1">
        <f>12500+15000+8000+4000+3000</f>
        <v>42500</v>
      </c>
      <c r="E7" s="1">
        <v>13000</v>
      </c>
      <c r="F7" s="1"/>
    </row>
    <row r="8" spans="1:7" x14ac:dyDescent="0.25">
      <c r="A8" s="1"/>
      <c r="B8" s="1"/>
      <c r="F8" s="9"/>
    </row>
    <row r="9" spans="1:7" x14ac:dyDescent="0.25">
      <c r="A9" s="1" t="s">
        <v>6</v>
      </c>
      <c r="B9" s="1" t="s">
        <v>3</v>
      </c>
      <c r="C9" s="62">
        <f>6000+350+560</f>
        <v>6910</v>
      </c>
      <c r="D9" s="1">
        <f>1700+4000+6300+10000+4200+1500+2000</f>
        <v>29700</v>
      </c>
      <c r="F9" s="9"/>
    </row>
    <row r="10" spans="1:7" x14ac:dyDescent="0.25">
      <c r="A10" s="1"/>
      <c r="B10" s="1" t="s">
        <v>5</v>
      </c>
      <c r="C10" s="62">
        <v>1500</v>
      </c>
      <c r="D10" s="1">
        <f>9000+500+1700+3000+6000+4000+5000+500</f>
        <v>29700</v>
      </c>
      <c r="F10" s="1"/>
      <c r="G10" s="1" t="s">
        <v>174</v>
      </c>
    </row>
    <row r="11" spans="1:7" x14ac:dyDescent="0.25">
      <c r="A11" s="1"/>
      <c r="B11" s="1" t="s">
        <v>7</v>
      </c>
      <c r="D11" s="1">
        <v>2500</v>
      </c>
      <c r="F11" s="1"/>
    </row>
    <row r="12" spans="1:7" x14ac:dyDescent="0.25">
      <c r="A12" s="1"/>
      <c r="B12" s="1"/>
      <c r="F12" s="9"/>
    </row>
    <row r="13" spans="1:7" x14ac:dyDescent="0.25">
      <c r="A13" s="1" t="s">
        <v>8</v>
      </c>
      <c r="B13" s="1" t="s">
        <v>3</v>
      </c>
      <c r="F13" s="9"/>
    </row>
    <row r="14" spans="1:7" x14ac:dyDescent="0.25">
      <c r="A14" s="1"/>
      <c r="B14" s="1" t="s">
        <v>5</v>
      </c>
      <c r="C14" s="62">
        <f>14100+3553+4289+1111</f>
        <v>23053</v>
      </c>
      <c r="D14" s="1">
        <f>14100+8500+40000+3500+50000+16000+5000+6800+11300</f>
        <v>155200</v>
      </c>
      <c r="E14" s="1">
        <f>13800+3538+7786+19960</f>
        <v>45084</v>
      </c>
      <c r="F14" s="1"/>
      <c r="G14" s="1" t="s">
        <v>173</v>
      </c>
    </row>
    <row r="15" spans="1:7" x14ac:dyDescent="0.25">
      <c r="A15" s="1"/>
      <c r="B15" s="1"/>
      <c r="F15" s="9"/>
    </row>
    <row r="16" spans="1:7" x14ac:dyDescent="0.25">
      <c r="A16" s="1" t="s">
        <v>9</v>
      </c>
      <c r="B16" s="1" t="s">
        <v>3</v>
      </c>
      <c r="C16" s="62">
        <v>9350</v>
      </c>
      <c r="D16" s="1">
        <v>49000</v>
      </c>
      <c r="E16" s="1">
        <f>13465</f>
        <v>13465</v>
      </c>
      <c r="F16" s="9"/>
      <c r="G16" s="1" t="s">
        <v>171</v>
      </c>
    </row>
    <row r="17" spans="1:11" x14ac:dyDescent="0.25">
      <c r="A17" s="1"/>
      <c r="B17" s="1" t="s">
        <v>5</v>
      </c>
      <c r="D17" s="1">
        <f>1500</f>
        <v>1500</v>
      </c>
      <c r="E17" s="1">
        <f>870</f>
        <v>870</v>
      </c>
      <c r="F17" s="9"/>
      <c r="G17" s="9"/>
    </row>
    <row r="18" spans="1:11" x14ac:dyDescent="0.25">
      <c r="A18" s="1"/>
      <c r="B18" s="1" t="s">
        <v>10</v>
      </c>
      <c r="C18" s="62">
        <v>4329</v>
      </c>
      <c r="D18" s="1">
        <v>7500</v>
      </c>
      <c r="E18" s="1">
        <f>4006</f>
        <v>4006</v>
      </c>
      <c r="F18" s="9"/>
    </row>
    <row r="19" spans="1:11" x14ac:dyDescent="0.25">
      <c r="A19" s="1"/>
      <c r="B19" s="1"/>
      <c r="F19" s="9"/>
    </row>
    <row r="20" spans="1:11" ht="28.5" customHeight="1" x14ac:dyDescent="0.25">
      <c r="A20" s="4" t="s">
        <v>16</v>
      </c>
      <c r="B20" s="1" t="s">
        <v>5</v>
      </c>
      <c r="C20" s="62">
        <f>284+513+997</f>
        <v>1794</v>
      </c>
      <c r="D20" s="1">
        <f>1500+3000+4000+500+3000+2000+8000+4000+5000</f>
        <v>31000</v>
      </c>
      <c r="E20" s="1">
        <v>1063</v>
      </c>
      <c r="F20" s="9"/>
    </row>
    <row r="21" spans="1:11" x14ac:dyDescent="0.25">
      <c r="A21" s="1"/>
      <c r="B21" s="1"/>
      <c r="F21" s="9"/>
    </row>
    <row r="22" spans="1:11" x14ac:dyDescent="0.25">
      <c r="A22" s="1" t="s">
        <v>11</v>
      </c>
      <c r="B22" s="1" t="s">
        <v>3</v>
      </c>
      <c r="C22" s="62">
        <f>1365</f>
        <v>1365</v>
      </c>
      <c r="D22" s="1">
        <v>6000</v>
      </c>
      <c r="E22" s="1">
        <f>105</f>
        <v>105</v>
      </c>
      <c r="F22" s="9"/>
    </row>
    <row r="23" spans="1:11" x14ac:dyDescent="0.25">
      <c r="A23" s="1"/>
      <c r="B23" s="1" t="s">
        <v>5</v>
      </c>
      <c r="C23" s="62">
        <v>2400</v>
      </c>
      <c r="D23" s="1">
        <v>6500</v>
      </c>
      <c r="E23" s="1">
        <v>501</v>
      </c>
      <c r="F23" s="9"/>
    </row>
    <row r="24" spans="1:11" x14ac:dyDescent="0.25">
      <c r="A24" s="1"/>
      <c r="B24" s="1"/>
      <c r="F24" s="9"/>
    </row>
    <row r="25" spans="1:11" x14ac:dyDescent="0.25">
      <c r="A25" s="1" t="s">
        <v>12</v>
      </c>
      <c r="B25" s="1" t="s">
        <v>3</v>
      </c>
      <c r="D25" s="1">
        <v>10400</v>
      </c>
      <c r="F25" s="9"/>
    </row>
    <row r="26" spans="1:11" x14ac:dyDescent="0.25">
      <c r="A26" s="1"/>
      <c r="B26" s="1"/>
      <c r="F26" s="9"/>
    </row>
    <row r="27" spans="1:11" x14ac:dyDescent="0.25">
      <c r="A27" s="1" t="s">
        <v>13</v>
      </c>
      <c r="B27" s="1" t="s">
        <v>3</v>
      </c>
      <c r="F27" s="9"/>
    </row>
    <row r="28" spans="1:11" x14ac:dyDescent="0.25">
      <c r="A28" s="1"/>
      <c r="B28" s="1" t="s">
        <v>5</v>
      </c>
      <c r="C28" s="62">
        <f>64+1043+999+1184</f>
        <v>3290</v>
      </c>
      <c r="D28" s="1">
        <f>1000+1000+2000+200+1600+700+1500+4000</f>
        <v>12000</v>
      </c>
      <c r="E28" s="1">
        <f>60+922</f>
        <v>982</v>
      </c>
      <c r="F28" s="1"/>
    </row>
    <row r="29" spans="1:11" x14ac:dyDescent="0.25">
      <c r="A29" s="1"/>
      <c r="B29" s="1"/>
      <c r="F29" s="1"/>
    </row>
    <row r="30" spans="1:11" x14ac:dyDescent="0.25">
      <c r="A30" s="1" t="s">
        <v>14</v>
      </c>
      <c r="B30" s="1" t="s">
        <v>3</v>
      </c>
      <c r="C30" s="62">
        <f>C5+C9+C13+C16+C22+C25+C27</f>
        <v>90460</v>
      </c>
      <c r="D30" s="1">
        <f>D5+D9+D13+D16+D22+D25+D27</f>
        <v>288700</v>
      </c>
      <c r="E30" s="1">
        <f>E5+E9+E13+E16+E22+E25+E27</f>
        <v>63209</v>
      </c>
      <c r="F30" s="1"/>
    </row>
    <row r="31" spans="1:11" x14ac:dyDescent="0.25">
      <c r="A31" s="1"/>
      <c r="B31" s="1" t="s">
        <v>5</v>
      </c>
      <c r="C31" s="62">
        <f>C6+C7+C10+C11+C14+C17+C18+C20+C23+C28</f>
        <v>36366</v>
      </c>
      <c r="D31" s="1">
        <f>D6+D7+D10+D11+D14+D17+D18+D20+D23+D28</f>
        <v>358800</v>
      </c>
      <c r="E31" s="1">
        <f>E6+E7+E10+E11+E14+E17+E18+E20+E23+E28</f>
        <v>71606</v>
      </c>
      <c r="F31" s="1"/>
    </row>
    <row r="32" spans="1:11" x14ac:dyDescent="0.25">
      <c r="A32" s="1"/>
      <c r="B32" s="1"/>
      <c r="C32" s="63">
        <f>C30-C31</f>
        <v>54094</v>
      </c>
      <c r="D32" s="1">
        <f>D30-D31</f>
        <v>-70100</v>
      </c>
      <c r="E32" s="6">
        <f>E30-E31</f>
        <v>-8397</v>
      </c>
      <c r="F32" s="7"/>
      <c r="K32" s="7"/>
    </row>
    <row r="33" spans="1:11" x14ac:dyDescent="0.25">
      <c r="A33" s="1"/>
      <c r="B33" s="1"/>
      <c r="F33" s="1"/>
      <c r="K33" s="3"/>
    </row>
    <row r="34" spans="1:11" x14ac:dyDescent="0.25">
      <c r="A34" s="1"/>
      <c r="B34" s="1"/>
      <c r="F34" s="1"/>
    </row>
    <row r="35" spans="1:11" x14ac:dyDescent="0.25">
      <c r="A35" s="1" t="s">
        <v>122</v>
      </c>
      <c r="B35" s="1"/>
      <c r="F35" s="1"/>
    </row>
    <row r="36" spans="1:11" x14ac:dyDescent="0.25">
      <c r="A36" s="1"/>
      <c r="B36" s="1"/>
      <c r="F36" s="5"/>
    </row>
    <row r="37" spans="1:11" x14ac:dyDescent="0.25">
      <c r="A37" s="1" t="s">
        <v>15</v>
      </c>
      <c r="B37" s="53">
        <v>644707</v>
      </c>
      <c r="E37" s="9"/>
      <c r="F37" s="1"/>
    </row>
    <row r="38" spans="1:11" x14ac:dyDescent="0.25">
      <c r="A38" s="1"/>
      <c r="B38" s="1"/>
      <c r="F38" s="1"/>
    </row>
    <row r="39" spans="1:11" x14ac:dyDescent="0.25">
      <c r="A39" s="1" t="s">
        <v>170</v>
      </c>
      <c r="B39" s="1"/>
      <c r="F39" s="1"/>
    </row>
    <row r="40" spans="1:11" x14ac:dyDescent="0.25">
      <c r="A40" s="8"/>
      <c r="B40" s="1"/>
      <c r="F40" s="1"/>
    </row>
    <row r="41" spans="1:11" x14ac:dyDescent="0.25">
      <c r="A41" s="1"/>
      <c r="B41" s="1"/>
      <c r="F41" s="1"/>
    </row>
    <row r="42" spans="1:11" x14ac:dyDescent="0.25">
      <c r="A42" s="1"/>
      <c r="B42" s="1"/>
      <c r="F42" s="1"/>
    </row>
    <row r="43" spans="1:11" x14ac:dyDescent="0.25">
      <c r="A43" s="1"/>
      <c r="B43" s="1"/>
      <c r="F43" s="1"/>
    </row>
    <row r="44" spans="1:11" x14ac:dyDescent="0.25">
      <c r="A44" s="1"/>
      <c r="B44" s="1"/>
      <c r="F44" s="1"/>
    </row>
    <row r="45" spans="1:11" x14ac:dyDescent="0.25">
      <c r="A45" s="1"/>
      <c r="B45" s="1"/>
      <c r="F45" s="1"/>
    </row>
    <row r="46" spans="1:11" x14ac:dyDescent="0.25">
      <c r="A46" s="1"/>
      <c r="B46" s="1"/>
      <c r="F46" s="1"/>
    </row>
    <row r="47" spans="1:11" x14ac:dyDescent="0.25">
      <c r="A47" s="1"/>
      <c r="B47" s="1"/>
      <c r="F47" s="1"/>
    </row>
    <row r="48" spans="1:11" x14ac:dyDescent="0.25">
      <c r="A48" s="1"/>
      <c r="B48" s="1"/>
      <c r="F48" s="1"/>
    </row>
    <row r="49" spans="1:6" x14ac:dyDescent="0.25">
      <c r="A49" s="1"/>
      <c r="B49" s="1"/>
      <c r="F49" s="1"/>
    </row>
    <row r="50" spans="1:6" x14ac:dyDescent="0.25">
      <c r="A50" s="1"/>
      <c r="B50" s="1"/>
      <c r="F50" s="1"/>
    </row>
    <row r="51" spans="1:6" x14ac:dyDescent="0.25">
      <c r="A51" s="1"/>
      <c r="B51" s="1"/>
      <c r="F51" s="1"/>
    </row>
    <row r="52" spans="1:6" x14ac:dyDescent="0.25">
      <c r="A52" s="1"/>
      <c r="B52" s="1"/>
      <c r="F52" s="1"/>
    </row>
  </sheetData>
  <pageMargins left="0.7" right="0.7" top="0.75" bottom="0.75" header="0.3" footer="0.3"/>
  <pageSetup paperSize="9" scale="83" fitToWidth="0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4"/>
  <sheetViews>
    <sheetView topLeftCell="A21" workbookViewId="0">
      <selection activeCell="B37" sqref="B37"/>
    </sheetView>
  </sheetViews>
  <sheetFormatPr defaultRowHeight="15" x14ac:dyDescent="0.25"/>
  <cols>
    <col min="1" max="1" width="25.85546875" customWidth="1"/>
    <col min="2" max="2" width="15.42578125" customWidth="1"/>
    <col min="3" max="3" width="14.85546875" customWidth="1"/>
    <col min="4" max="4" width="13.85546875" style="1" customWidth="1"/>
    <col min="5" max="5" width="15.42578125" style="1" customWidth="1"/>
    <col min="6" max="6" width="13.42578125" customWidth="1"/>
    <col min="7" max="7" width="9.140625" style="1"/>
  </cols>
  <sheetData>
    <row r="1" spans="1:7" x14ac:dyDescent="0.25">
      <c r="A1" s="1" t="s">
        <v>0</v>
      </c>
      <c r="B1" s="1"/>
      <c r="F1" s="1"/>
    </row>
    <row r="2" spans="1:7" x14ac:dyDescent="0.25">
      <c r="A2" s="1"/>
      <c r="B2" s="1"/>
      <c r="F2" s="1"/>
    </row>
    <row r="3" spans="1:7" x14ac:dyDescent="0.25">
      <c r="A3" s="1" t="s">
        <v>129</v>
      </c>
      <c r="B3" s="1"/>
      <c r="C3" t="s">
        <v>128</v>
      </c>
      <c r="D3" s="2" t="s">
        <v>1</v>
      </c>
      <c r="E3" s="2" t="s">
        <v>127</v>
      </c>
    </row>
    <row r="4" spans="1:7" x14ac:dyDescent="0.25">
      <c r="A4" s="1"/>
      <c r="B4" s="1"/>
      <c r="F4" s="1"/>
    </row>
    <row r="5" spans="1:7" x14ac:dyDescent="0.25">
      <c r="A5" s="1" t="s">
        <v>2</v>
      </c>
      <c r="B5" s="1" t="s">
        <v>3</v>
      </c>
      <c r="C5" s="62">
        <f>SUM(79225+1300+21300)</f>
        <v>101825</v>
      </c>
      <c r="D5" s="1">
        <f>93600+4000+96000</f>
        <v>193600</v>
      </c>
      <c r="E5" s="1">
        <f>37177+900+29550</f>
        <v>67627</v>
      </c>
      <c r="F5" s="9"/>
    </row>
    <row r="6" spans="1:7" x14ac:dyDescent="0.25">
      <c r="A6" s="1"/>
      <c r="B6" s="1" t="s">
        <v>4</v>
      </c>
      <c r="C6" s="62">
        <v>7920</v>
      </c>
      <c r="D6" s="1">
        <v>70400</v>
      </c>
      <c r="E6" s="1">
        <v>12260</v>
      </c>
      <c r="F6" s="9"/>
      <c r="G6" s="1" t="s">
        <v>179</v>
      </c>
    </row>
    <row r="7" spans="1:7" x14ac:dyDescent="0.25">
      <c r="A7" s="1"/>
      <c r="B7" s="1" t="s">
        <v>5</v>
      </c>
      <c r="C7" s="62">
        <v>13000</v>
      </c>
      <c r="D7" s="1">
        <f>12500+15000+8000+4000+3000</f>
        <v>42500</v>
      </c>
      <c r="E7" s="1">
        <f>14980+2363</f>
        <v>17343</v>
      </c>
      <c r="F7" s="1"/>
      <c r="G7" s="1" t="s">
        <v>176</v>
      </c>
    </row>
    <row r="8" spans="1:7" x14ac:dyDescent="0.25">
      <c r="A8" s="1"/>
      <c r="B8" s="1"/>
      <c r="C8" s="62"/>
      <c r="F8" s="9"/>
    </row>
    <row r="9" spans="1:7" x14ac:dyDescent="0.25">
      <c r="A9" s="1" t="s">
        <v>6</v>
      </c>
      <c r="B9" s="1" t="s">
        <v>3</v>
      </c>
      <c r="C9" s="62">
        <f>5700+600+1050+560</f>
        <v>7910</v>
      </c>
      <c r="D9" s="1">
        <f>1700+4000+6300+10000+4200+1500+2000</f>
        <v>29700</v>
      </c>
      <c r="F9" s="9"/>
      <c r="G9" s="1" t="s">
        <v>180</v>
      </c>
    </row>
    <row r="10" spans="1:7" x14ac:dyDescent="0.25">
      <c r="A10" s="1"/>
      <c r="B10" s="1" t="s">
        <v>5</v>
      </c>
      <c r="C10" s="62">
        <f>1500+3302</f>
        <v>4802</v>
      </c>
      <c r="D10" s="1">
        <f>9000+500+1700+3000+6000+4000+5000+500</f>
        <v>29700</v>
      </c>
      <c r="F10" s="9"/>
    </row>
    <row r="11" spans="1:7" x14ac:dyDescent="0.25">
      <c r="A11" s="1"/>
      <c r="B11" s="1" t="s">
        <v>7</v>
      </c>
      <c r="C11" s="62"/>
      <c r="D11" s="1">
        <v>2500</v>
      </c>
      <c r="F11" s="9"/>
    </row>
    <row r="12" spans="1:7" x14ac:dyDescent="0.25">
      <c r="A12" s="1"/>
      <c r="B12" s="1"/>
      <c r="C12" s="62"/>
      <c r="F12" s="9"/>
    </row>
    <row r="13" spans="1:7" x14ac:dyDescent="0.25">
      <c r="A13" s="1" t="s">
        <v>8</v>
      </c>
      <c r="B13" s="1" t="s">
        <v>3</v>
      </c>
      <c r="C13" s="62"/>
      <c r="F13" s="9"/>
    </row>
    <row r="14" spans="1:7" x14ac:dyDescent="0.25">
      <c r="A14" s="1"/>
      <c r="B14" s="1" t="s">
        <v>5</v>
      </c>
      <c r="C14" s="62">
        <f>14100+3553+7619+1111</f>
        <v>26383</v>
      </c>
      <c r="D14" s="1">
        <f>14100+8500+40000+3500+50000+16000+5000+6800+11300</f>
        <v>155200</v>
      </c>
      <c r="E14" s="1">
        <f>13800+3538+7786+19960+1574</f>
        <v>46658</v>
      </c>
      <c r="F14" s="1"/>
    </row>
    <row r="15" spans="1:7" x14ac:dyDescent="0.25">
      <c r="A15" s="1"/>
      <c r="B15" s="1"/>
      <c r="C15" s="62"/>
      <c r="F15" s="9"/>
    </row>
    <row r="16" spans="1:7" x14ac:dyDescent="0.25">
      <c r="A16" s="1" t="s">
        <v>9</v>
      </c>
      <c r="B16" s="1" t="s">
        <v>3</v>
      </c>
      <c r="C16" s="62">
        <v>9925</v>
      </c>
      <c r="D16" s="1">
        <v>49000</v>
      </c>
      <c r="E16" s="1">
        <v>13925</v>
      </c>
      <c r="F16" s="9"/>
      <c r="G16" s="1" t="s">
        <v>177</v>
      </c>
    </row>
    <row r="17" spans="1:19" x14ac:dyDescent="0.25">
      <c r="A17" s="1"/>
      <c r="B17" s="1" t="s">
        <v>5</v>
      </c>
      <c r="C17" s="62"/>
      <c r="D17" s="1">
        <f>1500</f>
        <v>1500</v>
      </c>
      <c r="E17" s="1">
        <f>870</f>
        <v>870</v>
      </c>
      <c r="F17" s="9"/>
      <c r="G17" s="9"/>
    </row>
    <row r="18" spans="1:19" x14ac:dyDescent="0.25">
      <c r="A18" s="1"/>
      <c r="B18" s="1" t="s">
        <v>10</v>
      </c>
      <c r="C18" s="62">
        <v>4329</v>
      </c>
      <c r="D18" s="1">
        <v>7500</v>
      </c>
      <c r="E18" s="1">
        <f>4006</f>
        <v>4006</v>
      </c>
      <c r="F18" s="9"/>
    </row>
    <row r="19" spans="1:19" x14ac:dyDescent="0.25">
      <c r="A19" s="1"/>
      <c r="B19" s="1"/>
      <c r="C19" s="62"/>
      <c r="F19" s="9"/>
    </row>
    <row r="20" spans="1:19" ht="28.5" customHeight="1" x14ac:dyDescent="0.25">
      <c r="A20" s="4" t="s">
        <v>16</v>
      </c>
      <c r="B20" s="1" t="s">
        <v>5</v>
      </c>
      <c r="C20" s="62">
        <f>4687+284+587+1317+513+1360</f>
        <v>8748</v>
      </c>
      <c r="D20" s="1">
        <f>1500+3000+4000+500+3000+2000+8000+4000+5000</f>
        <v>31000</v>
      </c>
      <c r="E20" s="1">
        <v>1063</v>
      </c>
      <c r="F20" s="9"/>
      <c r="G20" s="1" t="s">
        <v>181</v>
      </c>
    </row>
    <row r="21" spans="1:19" x14ac:dyDescent="0.25">
      <c r="A21" s="1"/>
      <c r="B21" s="1"/>
      <c r="C21" s="62"/>
      <c r="F21" s="9"/>
      <c r="N21" s="1"/>
      <c r="O21" s="1"/>
      <c r="P21" s="1"/>
      <c r="Q21" s="1"/>
      <c r="R21" s="1"/>
      <c r="S21" s="1"/>
    </row>
    <row r="22" spans="1:19" x14ac:dyDescent="0.25">
      <c r="A22" s="1" t="s">
        <v>11</v>
      </c>
      <c r="B22" s="1" t="s">
        <v>3</v>
      </c>
      <c r="C22" s="62">
        <v>2286</v>
      </c>
      <c r="D22" s="1">
        <v>6000</v>
      </c>
      <c r="E22" s="1">
        <v>340</v>
      </c>
      <c r="F22" s="9"/>
      <c r="N22" s="1"/>
      <c r="O22" s="1"/>
      <c r="P22" s="1"/>
      <c r="Q22" s="1"/>
      <c r="R22" s="1"/>
      <c r="S22" s="1"/>
    </row>
    <row r="23" spans="1:19" x14ac:dyDescent="0.25">
      <c r="A23" s="1"/>
      <c r="B23" s="1" t="s">
        <v>5</v>
      </c>
      <c r="C23" s="62">
        <v>2400</v>
      </c>
      <c r="D23" s="1">
        <v>6500</v>
      </c>
      <c r="E23" s="1">
        <v>501</v>
      </c>
      <c r="F23" s="9"/>
      <c r="N23" s="1"/>
      <c r="O23" s="1"/>
      <c r="P23" s="1"/>
      <c r="Q23" s="1"/>
      <c r="R23" s="1"/>
      <c r="S23" s="1"/>
    </row>
    <row r="24" spans="1:19" x14ac:dyDescent="0.25">
      <c r="A24" s="1"/>
      <c r="B24" s="1"/>
      <c r="C24" s="62"/>
      <c r="F24" s="9"/>
      <c r="N24" s="1"/>
      <c r="O24" s="1"/>
      <c r="P24" s="1"/>
      <c r="Q24" s="1"/>
      <c r="R24" s="1"/>
      <c r="S24" s="1"/>
    </row>
    <row r="25" spans="1:19" x14ac:dyDescent="0.25">
      <c r="A25" s="1" t="s">
        <v>12</v>
      </c>
      <c r="B25" s="1" t="s">
        <v>3</v>
      </c>
      <c r="C25" s="62"/>
      <c r="D25" s="1">
        <v>10400</v>
      </c>
      <c r="F25" s="9"/>
      <c r="N25" s="1"/>
      <c r="O25" s="1"/>
      <c r="P25" s="1"/>
      <c r="Q25" s="1"/>
      <c r="R25" s="1"/>
      <c r="S25" s="1"/>
    </row>
    <row r="26" spans="1:19" x14ac:dyDescent="0.25">
      <c r="A26" s="1"/>
      <c r="B26" s="1"/>
      <c r="C26" s="62"/>
      <c r="F26" s="9"/>
      <c r="N26" s="1"/>
      <c r="O26" s="1"/>
      <c r="P26" s="1"/>
      <c r="Q26" s="1"/>
      <c r="R26" s="1"/>
      <c r="S26" s="1"/>
    </row>
    <row r="27" spans="1:19" x14ac:dyDescent="0.25">
      <c r="A27" s="1" t="s">
        <v>13</v>
      </c>
      <c r="B27" s="1" t="s">
        <v>3</v>
      </c>
      <c r="C27" s="62"/>
      <c r="F27" s="9"/>
      <c r="N27" s="1"/>
      <c r="O27" s="1"/>
      <c r="P27" s="1"/>
      <c r="Q27" s="1"/>
      <c r="R27" s="1"/>
      <c r="S27" s="1"/>
    </row>
    <row r="28" spans="1:19" x14ac:dyDescent="0.25">
      <c r="A28" s="1"/>
      <c r="B28" s="1" t="s">
        <v>5</v>
      </c>
      <c r="C28" s="62">
        <f>64+2034+1094+2438</f>
        <v>5630</v>
      </c>
      <c r="D28" s="1">
        <f>1000+1000+2000+200+1600+700+1500+4000</f>
        <v>12000</v>
      </c>
      <c r="E28" s="1">
        <f>1289+60+841+923</f>
        <v>3113</v>
      </c>
      <c r="F28" s="1"/>
      <c r="N28" s="1"/>
      <c r="O28" s="1"/>
      <c r="P28" s="1"/>
      <c r="Q28" s="1"/>
      <c r="R28" s="1"/>
      <c r="S28" s="1"/>
    </row>
    <row r="29" spans="1:19" x14ac:dyDescent="0.25">
      <c r="A29" s="1"/>
      <c r="B29" s="1"/>
      <c r="C29" s="62"/>
      <c r="F29" s="1"/>
      <c r="N29" s="1"/>
      <c r="O29" s="1"/>
      <c r="P29" s="1"/>
      <c r="Q29" s="1"/>
      <c r="R29" s="1"/>
      <c r="S29" s="1"/>
    </row>
    <row r="30" spans="1:19" x14ac:dyDescent="0.25">
      <c r="A30" s="1" t="s">
        <v>14</v>
      </c>
      <c r="B30" s="1" t="s">
        <v>3</v>
      </c>
      <c r="C30" s="62">
        <f>C5+C9+C13+C16+C22+C25+C27</f>
        <v>121946</v>
      </c>
      <c r="D30" s="1">
        <f>D5+D9+D13+D16+D22+D25+D27</f>
        <v>288700</v>
      </c>
      <c r="E30" s="1">
        <f>E5+E9+E13+E16+E22+E25+E27</f>
        <v>81892</v>
      </c>
      <c r="F30" s="1"/>
      <c r="N30" s="1"/>
      <c r="O30" s="1"/>
      <c r="P30" s="1"/>
      <c r="Q30" s="1"/>
      <c r="R30" s="1"/>
      <c r="S30" s="1"/>
    </row>
    <row r="31" spans="1:19" x14ac:dyDescent="0.25">
      <c r="A31" s="1"/>
      <c r="B31" s="1" t="s">
        <v>5</v>
      </c>
      <c r="C31" s="62">
        <f>C6+C7+C10+C11+C14+C17+C18+C20+C23+C28</f>
        <v>73212</v>
      </c>
      <c r="D31" s="1">
        <f>D6+D7+D10+D11+D14+D17+D18+D20+D23+D28</f>
        <v>358800</v>
      </c>
      <c r="E31" s="1">
        <f>E6+E7+E10+E11+E14+E17+E18+E20+E23+E28</f>
        <v>85814</v>
      </c>
      <c r="F31" s="1"/>
    </row>
    <row r="32" spans="1:19" x14ac:dyDescent="0.25">
      <c r="A32" s="1"/>
      <c r="B32" s="1"/>
      <c r="C32" s="63">
        <f>C30-C31</f>
        <v>48734</v>
      </c>
      <c r="D32" s="1">
        <f>D30-D31</f>
        <v>-70100</v>
      </c>
      <c r="E32" s="6">
        <f>E30-E31</f>
        <v>-3922</v>
      </c>
      <c r="F32" s="7"/>
      <c r="G32" s="1" t="s">
        <v>178</v>
      </c>
    </row>
    <row r="33" spans="1:9" x14ac:dyDescent="0.25">
      <c r="A33" s="1"/>
      <c r="B33" s="1"/>
      <c r="F33" s="1"/>
      <c r="H33">
        <v>34</v>
      </c>
      <c r="I33" t="s">
        <v>182</v>
      </c>
    </row>
    <row r="34" spans="1:9" x14ac:dyDescent="0.25">
      <c r="A34" s="1"/>
      <c r="B34" s="1"/>
      <c r="F34" s="1"/>
      <c r="H34">
        <v>8</v>
      </c>
      <c r="I34" t="s">
        <v>183</v>
      </c>
    </row>
    <row r="35" spans="1:9" x14ac:dyDescent="0.25">
      <c r="A35" s="1" t="s">
        <v>126</v>
      </c>
      <c r="F35" s="1"/>
      <c r="H35">
        <v>3</v>
      </c>
      <c r="I35" t="s">
        <v>184</v>
      </c>
    </row>
    <row r="36" spans="1:9" x14ac:dyDescent="0.25">
      <c r="A36" s="1"/>
      <c r="B36" s="1"/>
      <c r="F36" s="5"/>
      <c r="H36">
        <v>20</v>
      </c>
      <c r="I36" t="s">
        <v>185</v>
      </c>
    </row>
    <row r="37" spans="1:9" x14ac:dyDescent="0.25">
      <c r="A37" s="1" t="s">
        <v>15</v>
      </c>
      <c r="B37" s="54">
        <v>638456</v>
      </c>
      <c r="E37" s="9"/>
      <c r="F37" s="1"/>
      <c r="H37">
        <v>-3.5</v>
      </c>
      <c r="I37" t="s">
        <v>186</v>
      </c>
    </row>
    <row r="38" spans="1:9" x14ac:dyDescent="0.25">
      <c r="A38" s="1"/>
      <c r="B38" s="1"/>
      <c r="F38" s="1"/>
      <c r="H38">
        <v>-7.5</v>
      </c>
      <c r="I38" t="s">
        <v>188</v>
      </c>
    </row>
    <row r="39" spans="1:9" x14ac:dyDescent="0.25">
      <c r="A39" s="9" t="s">
        <v>175</v>
      </c>
      <c r="B39" s="1"/>
      <c r="F39" s="1"/>
      <c r="H39">
        <v>-2.5</v>
      </c>
      <c r="I39" t="s">
        <v>187</v>
      </c>
    </row>
    <row r="40" spans="1:9" x14ac:dyDescent="0.25">
      <c r="A40" s="10"/>
      <c r="B40" s="1"/>
      <c r="F40" s="1"/>
      <c r="H40">
        <f>SUM(H33:H39)</f>
        <v>51.5</v>
      </c>
    </row>
    <row r="41" spans="1:9" x14ac:dyDescent="0.25">
      <c r="A41" s="1"/>
      <c r="B41" s="1"/>
      <c r="F41" s="1"/>
    </row>
    <row r="42" spans="1:9" x14ac:dyDescent="0.25">
      <c r="A42" s="1"/>
      <c r="B42" s="1"/>
      <c r="F42" s="1"/>
    </row>
    <row r="43" spans="1:9" x14ac:dyDescent="0.25">
      <c r="A43" s="1"/>
      <c r="B43" s="1"/>
      <c r="F43" s="1"/>
    </row>
    <row r="44" spans="1:9" x14ac:dyDescent="0.25">
      <c r="A44" s="1"/>
      <c r="B44" s="1"/>
      <c r="F44" s="1"/>
    </row>
    <row r="45" spans="1:9" x14ac:dyDescent="0.25">
      <c r="A45" s="1"/>
      <c r="B45" s="1"/>
      <c r="F45" s="1"/>
    </row>
    <row r="46" spans="1:9" x14ac:dyDescent="0.25">
      <c r="A46" s="1"/>
      <c r="B46" s="1"/>
      <c r="F46" s="1"/>
    </row>
    <row r="47" spans="1:9" x14ac:dyDescent="0.25">
      <c r="A47" s="1"/>
      <c r="B47" s="1"/>
      <c r="F47" s="1"/>
    </row>
    <row r="48" spans="1:9" x14ac:dyDescent="0.25">
      <c r="A48" s="1"/>
      <c r="B48" s="1"/>
      <c r="F48" s="1"/>
    </row>
    <row r="49" spans="1:6" x14ac:dyDescent="0.25">
      <c r="A49" s="1"/>
      <c r="B49" s="1"/>
      <c r="F49" s="1"/>
    </row>
    <row r="50" spans="1:6" x14ac:dyDescent="0.25">
      <c r="A50" s="1"/>
      <c r="B50" s="1"/>
      <c r="F50" s="1"/>
    </row>
    <row r="51" spans="1:6" x14ac:dyDescent="0.25">
      <c r="A51" s="1"/>
      <c r="B51" s="1"/>
      <c r="F51" s="1"/>
    </row>
    <row r="52" spans="1:6" x14ac:dyDescent="0.25">
      <c r="A52" s="1"/>
      <c r="B52" s="1"/>
      <c r="F52" s="1"/>
    </row>
    <row r="53" spans="1:6" x14ac:dyDescent="0.25">
      <c r="A53" s="1"/>
      <c r="B53" s="1"/>
      <c r="F53" s="1"/>
    </row>
    <row r="54" spans="1:6" x14ac:dyDescent="0.25">
      <c r="A54" s="1"/>
      <c r="B54" s="1"/>
      <c r="F54" s="1"/>
    </row>
  </sheetData>
  <pageMargins left="0.7" right="0.7" top="0.75" bottom="0.75" header="0.3" footer="0.3"/>
  <pageSetup paperSize="9" fitToHeight="0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41"/>
  <sheetViews>
    <sheetView workbookViewId="0">
      <selection activeCell="G32" sqref="G32:L41"/>
    </sheetView>
  </sheetViews>
  <sheetFormatPr defaultRowHeight="15" x14ac:dyDescent="0.25"/>
  <cols>
    <col min="1" max="1" width="25.85546875" style="1" customWidth="1"/>
    <col min="2" max="2" width="15.42578125" style="1" customWidth="1"/>
    <col min="3" max="3" width="15.85546875" customWidth="1"/>
    <col min="4" max="4" width="13.85546875" style="1" customWidth="1"/>
    <col min="5" max="5" width="15.42578125" style="1" customWidth="1"/>
    <col min="6" max="6" width="13.42578125" style="1" customWidth="1"/>
    <col min="7" max="7" width="13.5703125" style="1" customWidth="1"/>
    <col min="8" max="17" width="9.140625" style="1"/>
  </cols>
  <sheetData>
    <row r="1" spans="1:17" x14ac:dyDescent="0.25">
      <c r="A1" s="1" t="s">
        <v>0</v>
      </c>
      <c r="J1"/>
      <c r="K1"/>
      <c r="L1"/>
      <c r="M1"/>
      <c r="N1"/>
      <c r="O1"/>
      <c r="P1"/>
      <c r="Q1"/>
    </row>
    <row r="3" spans="1:17" x14ac:dyDescent="0.25">
      <c r="A3" s="1" t="s">
        <v>131</v>
      </c>
      <c r="C3" t="s">
        <v>133</v>
      </c>
      <c r="D3" s="2" t="s">
        <v>1</v>
      </c>
      <c r="E3" s="2" t="s">
        <v>132</v>
      </c>
      <c r="G3" s="2"/>
      <c r="J3"/>
      <c r="K3"/>
      <c r="L3"/>
      <c r="M3"/>
      <c r="N3"/>
      <c r="O3"/>
      <c r="P3"/>
      <c r="Q3"/>
    </row>
    <row r="5" spans="1:17" x14ac:dyDescent="0.25">
      <c r="A5" s="1" t="s">
        <v>2</v>
      </c>
      <c r="B5" s="1" t="s">
        <v>3</v>
      </c>
      <c r="C5" s="62">
        <f>SUM(81575+1700+21300)</f>
        <v>104575</v>
      </c>
      <c r="D5" s="1">
        <f>93600+4000+96000</f>
        <v>193600</v>
      </c>
      <c r="E5" s="1">
        <f>37697+900+44375</f>
        <v>82972</v>
      </c>
      <c r="F5" s="9"/>
      <c r="G5" s="9"/>
      <c r="J5"/>
      <c r="K5"/>
      <c r="L5"/>
      <c r="M5"/>
      <c r="N5"/>
      <c r="O5"/>
      <c r="P5"/>
      <c r="Q5"/>
    </row>
    <row r="6" spans="1:17" x14ac:dyDescent="0.25">
      <c r="B6" s="1" t="s">
        <v>4</v>
      </c>
      <c r="C6" s="62">
        <v>15620</v>
      </c>
      <c r="D6" s="1">
        <v>70400</v>
      </c>
      <c r="E6" s="1">
        <v>20670</v>
      </c>
      <c r="F6" s="9"/>
      <c r="G6" s="9"/>
      <c r="J6"/>
      <c r="K6"/>
      <c r="L6"/>
      <c r="M6"/>
      <c r="N6"/>
      <c r="O6"/>
      <c r="P6"/>
      <c r="Q6"/>
    </row>
    <row r="7" spans="1:17" x14ac:dyDescent="0.25">
      <c r="B7" s="1" t="s">
        <v>5</v>
      </c>
      <c r="C7" s="62">
        <f>SUM(13000-10000)</f>
        <v>3000</v>
      </c>
      <c r="D7" s="1">
        <f>12500+15000+8000+4000+3000</f>
        <v>42500</v>
      </c>
      <c r="E7" s="1">
        <f>14980+2363</f>
        <v>17343</v>
      </c>
      <c r="G7" s="9"/>
      <c r="J7"/>
      <c r="K7"/>
      <c r="L7"/>
      <c r="M7"/>
      <c r="N7"/>
      <c r="O7"/>
      <c r="P7"/>
      <c r="Q7"/>
    </row>
    <row r="8" spans="1:17" x14ac:dyDescent="0.25">
      <c r="C8" s="62"/>
      <c r="F8" s="9"/>
      <c r="G8" s="9"/>
      <c r="J8"/>
      <c r="K8"/>
      <c r="L8"/>
      <c r="M8"/>
      <c r="N8"/>
      <c r="O8"/>
      <c r="P8"/>
      <c r="Q8"/>
    </row>
    <row r="9" spans="1:17" x14ac:dyDescent="0.25">
      <c r="A9" s="1" t="s">
        <v>6</v>
      </c>
      <c r="B9" s="1" t="s">
        <v>3</v>
      </c>
      <c r="C9" s="62">
        <f>SUM(5700+5500+3150+400+560)</f>
        <v>15310</v>
      </c>
      <c r="D9" s="1">
        <f>1700+4000+6300+10000+4200+1500+2000</f>
        <v>29700</v>
      </c>
      <c r="E9" s="1">
        <v>1400</v>
      </c>
      <c r="F9" s="9"/>
      <c r="G9" s="9" t="s">
        <v>190</v>
      </c>
      <c r="J9"/>
      <c r="K9"/>
      <c r="L9"/>
      <c r="M9"/>
      <c r="N9"/>
      <c r="O9"/>
      <c r="P9"/>
      <c r="Q9"/>
    </row>
    <row r="10" spans="1:17" x14ac:dyDescent="0.25">
      <c r="B10" s="1" t="s">
        <v>5</v>
      </c>
      <c r="C10" s="62">
        <f>1500+3302</f>
        <v>4802</v>
      </c>
      <c r="D10" s="1">
        <f>9000+500+1700+3000+6000+4000+5000+500</f>
        <v>29700</v>
      </c>
      <c r="F10" s="9"/>
      <c r="G10" s="9"/>
      <c r="J10"/>
      <c r="K10"/>
      <c r="L10"/>
      <c r="M10"/>
      <c r="N10"/>
      <c r="O10"/>
      <c r="P10"/>
      <c r="Q10"/>
    </row>
    <row r="11" spans="1:17" x14ac:dyDescent="0.25">
      <c r="B11" s="1" t="s">
        <v>7</v>
      </c>
      <c r="C11" s="62"/>
      <c r="D11" s="1">
        <v>2500</v>
      </c>
      <c r="F11" s="9"/>
      <c r="G11" s="9"/>
      <c r="J11"/>
      <c r="K11"/>
      <c r="L11"/>
      <c r="M11"/>
      <c r="N11"/>
      <c r="O11"/>
      <c r="P11"/>
      <c r="Q11"/>
    </row>
    <row r="12" spans="1:17" x14ac:dyDescent="0.25">
      <c r="C12" s="62"/>
      <c r="F12" s="9"/>
      <c r="G12" s="9"/>
      <c r="J12"/>
      <c r="K12"/>
      <c r="L12"/>
      <c r="M12"/>
      <c r="N12"/>
      <c r="O12"/>
      <c r="P12"/>
      <c r="Q12"/>
    </row>
    <row r="13" spans="1:17" x14ac:dyDescent="0.25">
      <c r="A13" s="1" t="s">
        <v>8</v>
      </c>
      <c r="B13" s="1" t="s">
        <v>3</v>
      </c>
      <c r="C13" s="62"/>
      <c r="F13" s="9"/>
      <c r="G13" s="9"/>
      <c r="J13"/>
      <c r="K13"/>
      <c r="L13"/>
      <c r="M13"/>
      <c r="N13"/>
      <c r="O13"/>
      <c r="P13"/>
      <c r="Q13"/>
    </row>
    <row r="14" spans="1:17" x14ac:dyDescent="0.25">
      <c r="B14" s="1" t="s">
        <v>5</v>
      </c>
      <c r="C14" s="62">
        <f>14100+3553+12481+1706+2222+3868</f>
        <v>37930</v>
      </c>
      <c r="D14" s="1">
        <f>14100+8500+40000+3500+50000+16000+5000+6800+11300</f>
        <v>155200</v>
      </c>
      <c r="E14" s="1">
        <f>13800+3538+12724+19960+1574+2345</f>
        <v>53941</v>
      </c>
      <c r="G14" s="9"/>
      <c r="J14"/>
      <c r="K14"/>
      <c r="L14"/>
      <c r="M14"/>
      <c r="N14"/>
      <c r="O14"/>
      <c r="P14"/>
      <c r="Q14"/>
    </row>
    <row r="15" spans="1:17" x14ac:dyDescent="0.25">
      <c r="C15" s="62"/>
      <c r="F15" s="9"/>
      <c r="G15" s="9"/>
      <c r="J15"/>
      <c r="K15"/>
      <c r="L15"/>
      <c r="M15"/>
      <c r="N15"/>
      <c r="O15"/>
      <c r="P15"/>
      <c r="Q15"/>
    </row>
    <row r="16" spans="1:17" x14ac:dyDescent="0.25">
      <c r="A16" s="1" t="s">
        <v>9</v>
      </c>
      <c r="B16" s="1" t="s">
        <v>3</v>
      </c>
      <c r="C16" s="62">
        <v>15105</v>
      </c>
      <c r="D16" s="1">
        <v>49000</v>
      </c>
      <c r="E16" s="1">
        <v>15680</v>
      </c>
      <c r="F16" s="9"/>
      <c r="G16" s="9"/>
      <c r="H16" s="9"/>
      <c r="J16"/>
      <c r="K16"/>
      <c r="L16"/>
      <c r="M16"/>
      <c r="N16"/>
      <c r="O16"/>
      <c r="P16"/>
      <c r="Q16"/>
    </row>
    <row r="17" spans="1:17" x14ac:dyDescent="0.25">
      <c r="B17" s="1" t="s">
        <v>5</v>
      </c>
      <c r="C17" s="62"/>
      <c r="D17" s="1">
        <f>1500</f>
        <v>1500</v>
      </c>
      <c r="E17" s="1">
        <f>870</f>
        <v>870</v>
      </c>
      <c r="F17" s="9"/>
      <c r="G17" s="9"/>
      <c r="J17"/>
      <c r="K17"/>
      <c r="L17"/>
      <c r="M17"/>
      <c r="N17"/>
      <c r="O17"/>
      <c r="P17"/>
      <c r="Q17"/>
    </row>
    <row r="18" spans="1:17" x14ac:dyDescent="0.25">
      <c r="B18" s="1" t="s">
        <v>10</v>
      </c>
      <c r="C18" s="62">
        <v>4329</v>
      </c>
      <c r="D18" s="1">
        <v>7500</v>
      </c>
      <c r="E18" s="1">
        <f>4006</f>
        <v>4006</v>
      </c>
      <c r="F18" s="9"/>
      <c r="G18" s="9"/>
      <c r="J18"/>
      <c r="K18"/>
      <c r="L18"/>
      <c r="M18"/>
      <c r="N18"/>
      <c r="O18"/>
      <c r="P18"/>
      <c r="Q18"/>
    </row>
    <row r="19" spans="1:17" x14ac:dyDescent="0.25">
      <c r="C19" s="62"/>
      <c r="F19" s="9"/>
      <c r="G19" s="9"/>
      <c r="J19"/>
      <c r="K19"/>
      <c r="L19"/>
      <c r="M19"/>
      <c r="N19"/>
      <c r="O19"/>
      <c r="P19"/>
      <c r="Q19"/>
    </row>
    <row r="20" spans="1:17" ht="30" x14ac:dyDescent="0.25">
      <c r="A20" s="4" t="s">
        <v>16</v>
      </c>
      <c r="B20" s="1" t="s">
        <v>5</v>
      </c>
      <c r="C20" s="62">
        <f>7416+284+587+1317+513+1360</f>
        <v>11477</v>
      </c>
      <c r="D20" s="1">
        <f>1500+3000+4000+500+3000+2000+8000+4000+5000</f>
        <v>31000</v>
      </c>
      <c r="E20" s="1">
        <v>1063</v>
      </c>
      <c r="F20" s="9"/>
      <c r="G20" s="9"/>
      <c r="J20"/>
      <c r="K20"/>
      <c r="L20"/>
      <c r="M20"/>
      <c r="N20"/>
      <c r="O20"/>
      <c r="P20"/>
      <c r="Q20"/>
    </row>
    <row r="21" spans="1:17" x14ac:dyDescent="0.25">
      <c r="C21" s="62"/>
      <c r="F21" s="9"/>
      <c r="L21"/>
      <c r="M21"/>
      <c r="N21"/>
      <c r="O21"/>
      <c r="P21"/>
      <c r="Q21"/>
    </row>
    <row r="22" spans="1:17" x14ac:dyDescent="0.25">
      <c r="A22" s="1" t="s">
        <v>11</v>
      </c>
      <c r="B22" s="1" t="s">
        <v>3</v>
      </c>
      <c r="C22" s="62">
        <v>3021</v>
      </c>
      <c r="D22" s="1">
        <v>6000</v>
      </c>
      <c r="E22" s="1">
        <v>400</v>
      </c>
      <c r="F22" s="9"/>
      <c r="L22"/>
      <c r="M22"/>
      <c r="N22"/>
      <c r="O22"/>
      <c r="P22"/>
      <c r="Q22"/>
    </row>
    <row r="23" spans="1:17" x14ac:dyDescent="0.25">
      <c r="B23" s="1" t="s">
        <v>5</v>
      </c>
      <c r="C23" s="62">
        <v>3233</v>
      </c>
      <c r="D23" s="1">
        <v>6500</v>
      </c>
      <c r="E23" s="1">
        <v>501</v>
      </c>
      <c r="F23" s="9"/>
      <c r="L23"/>
      <c r="M23"/>
      <c r="N23"/>
      <c r="O23"/>
      <c r="P23"/>
      <c r="Q23"/>
    </row>
    <row r="24" spans="1:17" x14ac:dyDescent="0.25">
      <c r="C24" s="62"/>
      <c r="F24" s="9"/>
      <c r="L24"/>
      <c r="M24"/>
      <c r="N24"/>
      <c r="O24"/>
      <c r="P24"/>
      <c r="Q24"/>
    </row>
    <row r="25" spans="1:17" x14ac:dyDescent="0.25">
      <c r="A25" s="1" t="s">
        <v>12</v>
      </c>
      <c r="B25" s="1" t="s">
        <v>3</v>
      </c>
      <c r="C25" s="62"/>
      <c r="D25" s="1">
        <v>10400</v>
      </c>
      <c r="F25" s="9"/>
      <c r="L25"/>
      <c r="M25"/>
      <c r="N25"/>
      <c r="O25"/>
      <c r="P25"/>
      <c r="Q25"/>
    </row>
    <row r="26" spans="1:17" x14ac:dyDescent="0.25">
      <c r="C26" s="62"/>
      <c r="F26" s="9"/>
      <c r="L26"/>
      <c r="M26"/>
      <c r="N26"/>
      <c r="O26"/>
      <c r="P26"/>
      <c r="Q26"/>
    </row>
    <row r="27" spans="1:17" x14ac:dyDescent="0.25">
      <c r="A27" s="1" t="s">
        <v>13</v>
      </c>
      <c r="B27" s="1" t="s">
        <v>3</v>
      </c>
      <c r="C27" s="62"/>
      <c r="F27" s="9"/>
      <c r="L27"/>
      <c r="M27"/>
      <c r="N27"/>
      <c r="O27"/>
      <c r="P27"/>
      <c r="Q27"/>
    </row>
    <row r="28" spans="1:17" x14ac:dyDescent="0.25">
      <c r="B28" s="1" t="s">
        <v>5</v>
      </c>
      <c r="C28" s="62">
        <f>64+2034+1206+2438</f>
        <v>5742</v>
      </c>
      <c r="D28" s="1">
        <f>1000+1000+2000+200+1600+700+1500+4000</f>
        <v>12000</v>
      </c>
      <c r="E28" s="1">
        <f>1289+60+841+989</f>
        <v>3179</v>
      </c>
      <c r="L28"/>
      <c r="M28"/>
      <c r="N28"/>
      <c r="O28"/>
      <c r="P28"/>
      <c r="Q28"/>
    </row>
    <row r="29" spans="1:17" x14ac:dyDescent="0.25">
      <c r="C29" s="62"/>
    </row>
    <row r="30" spans="1:17" x14ac:dyDescent="0.25">
      <c r="A30" s="1" t="s">
        <v>14</v>
      </c>
      <c r="B30" s="1" t="s">
        <v>3</v>
      </c>
      <c r="C30" s="62">
        <f>C5+C9+C13+C16+C22+C25+C27</f>
        <v>138011</v>
      </c>
      <c r="D30" s="1">
        <f>D5+D9+D13+D16+D22+D25+D27</f>
        <v>288700</v>
      </c>
      <c r="E30" s="1">
        <f>E5+E9+E13+E16+E22+E25+E27</f>
        <v>100452</v>
      </c>
      <c r="L30"/>
      <c r="M30"/>
      <c r="N30"/>
      <c r="O30"/>
      <c r="P30"/>
      <c r="Q30"/>
    </row>
    <row r="31" spans="1:17" x14ac:dyDescent="0.25">
      <c r="B31" s="1" t="s">
        <v>5</v>
      </c>
      <c r="C31" s="62">
        <f>C6+C7+C10+C11+C14+C17+C18+C20+C23+C28</f>
        <v>86133</v>
      </c>
      <c r="D31" s="1">
        <f>D6+D7+D10+D11+D14+D17+D18+D20+D23+D28</f>
        <v>358800</v>
      </c>
      <c r="E31" s="1">
        <f>E6+E7+E10+E11+E14+E17+E18+E20+E23+E28</f>
        <v>101573</v>
      </c>
      <c r="L31"/>
      <c r="M31"/>
      <c r="N31"/>
      <c r="O31"/>
      <c r="P31"/>
      <c r="Q31"/>
    </row>
    <row r="32" spans="1:17" x14ac:dyDescent="0.25">
      <c r="C32" s="63">
        <f>C30-C31</f>
        <v>51878</v>
      </c>
      <c r="D32" s="1">
        <f>D30-D31</f>
        <v>-70100</v>
      </c>
      <c r="E32" s="6">
        <f>E30-E31</f>
        <v>-1121</v>
      </c>
      <c r="F32" s="7"/>
      <c r="G32" s="1" t="s">
        <v>191</v>
      </c>
      <c r="M32"/>
      <c r="N32"/>
      <c r="O32"/>
      <c r="P32"/>
      <c r="Q32"/>
    </row>
    <row r="33" spans="1:17" x14ac:dyDescent="0.25">
      <c r="C33" s="1"/>
      <c r="H33" s="1">
        <v>21</v>
      </c>
      <c r="I33" s="1" t="s">
        <v>182</v>
      </c>
      <c r="M33"/>
      <c r="N33"/>
      <c r="O33"/>
      <c r="P33"/>
      <c r="Q33"/>
    </row>
    <row r="34" spans="1:17" x14ac:dyDescent="0.25">
      <c r="H34" s="1">
        <v>5</v>
      </c>
      <c r="I34" s="1" t="s">
        <v>192</v>
      </c>
    </row>
    <row r="35" spans="1:17" x14ac:dyDescent="0.25">
      <c r="A35" s="1" t="s">
        <v>130</v>
      </c>
      <c r="H35" s="1">
        <v>14</v>
      </c>
      <c r="I35" s="1" t="s">
        <v>193</v>
      </c>
      <c r="M35"/>
      <c r="N35"/>
      <c r="O35"/>
      <c r="P35"/>
      <c r="Q35"/>
    </row>
    <row r="36" spans="1:17" x14ac:dyDescent="0.25">
      <c r="F36" s="5"/>
      <c r="G36" s="8"/>
      <c r="H36" s="1">
        <v>9</v>
      </c>
      <c r="I36" s="1" t="s">
        <v>184</v>
      </c>
      <c r="M36"/>
      <c r="N36"/>
      <c r="O36"/>
      <c r="P36"/>
      <c r="Q36"/>
    </row>
    <row r="37" spans="1:17" x14ac:dyDescent="0.25">
      <c r="A37" s="1" t="s">
        <v>15</v>
      </c>
      <c r="B37" s="54">
        <v>634265</v>
      </c>
      <c r="E37" s="9"/>
      <c r="H37" s="1">
        <v>16</v>
      </c>
      <c r="I37" s="1" t="s">
        <v>195</v>
      </c>
      <c r="M37"/>
      <c r="N37"/>
      <c r="O37"/>
      <c r="P37"/>
      <c r="Q37"/>
    </row>
    <row r="38" spans="1:17" x14ac:dyDescent="0.25">
      <c r="I38" s="1" t="s">
        <v>196</v>
      </c>
    </row>
    <row r="39" spans="1:17" x14ac:dyDescent="0.25">
      <c r="A39" s="9" t="s">
        <v>189</v>
      </c>
      <c r="H39" s="1">
        <v>-10</v>
      </c>
      <c r="I39" s="1" t="s">
        <v>194</v>
      </c>
      <c r="M39"/>
      <c r="N39"/>
      <c r="O39"/>
      <c r="P39"/>
      <c r="Q39"/>
    </row>
    <row r="40" spans="1:17" x14ac:dyDescent="0.25">
      <c r="A40" s="10"/>
      <c r="H40" s="1">
        <v>-2.5</v>
      </c>
      <c r="I40" s="1" t="s">
        <v>187</v>
      </c>
      <c r="M40"/>
      <c r="N40"/>
      <c r="O40"/>
      <c r="P40"/>
      <c r="Q40"/>
    </row>
    <row r="41" spans="1:17" x14ac:dyDescent="0.25">
      <c r="H41" s="1">
        <f>SUM(H33:H40)</f>
        <v>52.5</v>
      </c>
    </row>
  </sheetData>
  <pageMargins left="0.7" right="0.7" top="0.75" bottom="0.75" header="0.3" footer="0.3"/>
  <pageSetup paperSize="9" scale="67" orientation="landscape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2"/>
  <sheetViews>
    <sheetView topLeftCell="A14" workbookViewId="0">
      <selection activeCell="G33" sqref="G33:L42"/>
    </sheetView>
  </sheetViews>
  <sheetFormatPr defaultRowHeight="15" x14ac:dyDescent="0.25"/>
  <cols>
    <col min="1" max="1" width="23.85546875" style="1" customWidth="1"/>
    <col min="2" max="2" width="15.42578125" style="1" customWidth="1"/>
    <col min="3" max="3" width="14.7109375" customWidth="1"/>
    <col min="4" max="4" width="13.85546875" style="1" customWidth="1"/>
    <col min="5" max="5" width="14.42578125" style="1" customWidth="1"/>
    <col min="6" max="6" width="8.42578125" style="1" customWidth="1"/>
    <col min="7" max="7" width="10.85546875" style="1" customWidth="1"/>
    <col min="8" max="11" width="9.140625" style="1"/>
  </cols>
  <sheetData>
    <row r="1" spans="1:6" x14ac:dyDescent="0.25">
      <c r="A1" s="1" t="s">
        <v>0</v>
      </c>
    </row>
    <row r="3" spans="1:6" x14ac:dyDescent="0.25">
      <c r="A3" s="1" t="s">
        <v>135</v>
      </c>
      <c r="C3" t="s">
        <v>137</v>
      </c>
      <c r="D3" s="2" t="s">
        <v>1</v>
      </c>
      <c r="E3" s="2" t="s">
        <v>136</v>
      </c>
    </row>
    <row r="5" spans="1:6" x14ac:dyDescent="0.25">
      <c r="A5" s="1" t="s">
        <v>2</v>
      </c>
      <c r="B5" s="1" t="s">
        <v>3</v>
      </c>
      <c r="C5" s="62">
        <f>SUM(81575+2000+28200)</f>
        <v>111775</v>
      </c>
      <c r="D5" s="1">
        <f>93600+4000+96000</f>
        <v>193600</v>
      </c>
      <c r="E5" s="1">
        <f>40297+1150+50375+1300</f>
        <v>93122</v>
      </c>
      <c r="F5" s="9"/>
    </row>
    <row r="6" spans="1:6" s="1" customFormat="1" x14ac:dyDescent="0.25">
      <c r="B6" s="1" t="s">
        <v>12</v>
      </c>
      <c r="C6" s="62">
        <v>10000</v>
      </c>
      <c r="F6" s="9"/>
    </row>
    <row r="7" spans="1:6" x14ac:dyDescent="0.25">
      <c r="B7" s="1" t="s">
        <v>4</v>
      </c>
      <c r="C7" s="62">
        <v>15620</v>
      </c>
      <c r="D7" s="1">
        <v>70400</v>
      </c>
      <c r="E7" s="1">
        <v>20670</v>
      </c>
      <c r="F7" s="9"/>
    </row>
    <row r="8" spans="1:6" x14ac:dyDescent="0.25">
      <c r="B8" s="1" t="s">
        <v>5</v>
      </c>
      <c r="C8" s="62">
        <f>SUM(13000)</f>
        <v>13000</v>
      </c>
      <c r="D8" s="1">
        <f>12500+15000+8000+4000+3000</f>
        <v>42500</v>
      </c>
      <c r="E8" s="1">
        <f>14980+2363+158</f>
        <v>17501</v>
      </c>
    </row>
    <row r="9" spans="1:6" x14ac:dyDescent="0.25">
      <c r="C9" s="62"/>
      <c r="F9" s="9"/>
    </row>
    <row r="10" spans="1:6" x14ac:dyDescent="0.25">
      <c r="A10" s="1" t="s">
        <v>6</v>
      </c>
      <c r="B10" s="1" t="s">
        <v>3</v>
      </c>
      <c r="C10" s="62">
        <f>SUM(5700+4950+6300+600+560)</f>
        <v>18110</v>
      </c>
      <c r="D10" s="1">
        <f>1700+4000+6300+10000+4200+1500+2000</f>
        <v>29700</v>
      </c>
      <c r="E10" s="1">
        <v>5950</v>
      </c>
      <c r="F10" s="9"/>
    </row>
    <row r="11" spans="1:6" x14ac:dyDescent="0.25">
      <c r="B11" s="1" t="s">
        <v>5</v>
      </c>
      <c r="C11" s="62">
        <f>1500+94+3302+1483</f>
        <v>6379</v>
      </c>
      <c r="D11" s="1">
        <f>9000+500+1700+3000+6000+4000+5000+500</f>
        <v>29700</v>
      </c>
      <c r="F11" s="9"/>
    </row>
    <row r="12" spans="1:6" x14ac:dyDescent="0.25">
      <c r="B12" s="1" t="s">
        <v>7</v>
      </c>
      <c r="C12" s="62"/>
      <c r="D12" s="1">
        <v>2500</v>
      </c>
      <c r="F12" s="9"/>
    </row>
    <row r="13" spans="1:6" x14ac:dyDescent="0.25">
      <c r="C13" s="62"/>
      <c r="F13" s="9"/>
    </row>
    <row r="14" spans="1:6" x14ac:dyDescent="0.25">
      <c r="A14" s="1" t="s">
        <v>8</v>
      </c>
      <c r="B14" s="1" t="s">
        <v>3</v>
      </c>
      <c r="C14" s="62">
        <v>1200</v>
      </c>
      <c r="F14" s="9"/>
    </row>
    <row r="15" spans="1:6" x14ac:dyDescent="0.25">
      <c r="B15" s="1" t="s">
        <v>5</v>
      </c>
      <c r="C15" s="62">
        <f>14100+3553+15057+1706+2222+8885</f>
        <v>45523</v>
      </c>
      <c r="D15" s="1">
        <f>14100+8500+40000+3500+50000+16000+5000+6800+11300</f>
        <v>155200</v>
      </c>
      <c r="E15" s="1">
        <f>13800+3538+12724+19960+1574+5510</f>
        <v>57106</v>
      </c>
    </row>
    <row r="16" spans="1:6" x14ac:dyDescent="0.25">
      <c r="C16" s="62"/>
      <c r="F16" s="9"/>
    </row>
    <row r="17" spans="1:6" x14ac:dyDescent="0.25">
      <c r="A17" s="1" t="s">
        <v>9</v>
      </c>
      <c r="B17" s="1" t="s">
        <v>3</v>
      </c>
      <c r="C17" s="62">
        <v>16930</v>
      </c>
      <c r="D17" s="1">
        <v>49000</v>
      </c>
      <c r="E17" s="1">
        <v>18550</v>
      </c>
      <c r="F17" s="9"/>
    </row>
    <row r="18" spans="1:6" x14ac:dyDescent="0.25">
      <c r="B18" s="1" t="s">
        <v>5</v>
      </c>
      <c r="C18" s="62"/>
      <c r="D18" s="1">
        <f>1500</f>
        <v>1500</v>
      </c>
      <c r="E18" s="1">
        <f>870</f>
        <v>870</v>
      </c>
      <c r="F18" s="9"/>
    </row>
    <row r="19" spans="1:6" x14ac:dyDescent="0.25">
      <c r="B19" s="1" t="s">
        <v>10</v>
      </c>
      <c r="C19" s="62">
        <v>4329</v>
      </c>
      <c r="D19" s="1">
        <v>7500</v>
      </c>
      <c r="E19" s="1">
        <f>4006</f>
        <v>4006</v>
      </c>
      <c r="F19" s="9"/>
    </row>
    <row r="20" spans="1:6" x14ac:dyDescent="0.25">
      <c r="C20" s="62"/>
      <c r="F20" s="9"/>
    </row>
    <row r="21" spans="1:6" ht="45" x14ac:dyDescent="0.25">
      <c r="A21" s="4" t="s">
        <v>16</v>
      </c>
      <c r="B21" s="1" t="s">
        <v>5</v>
      </c>
      <c r="C21" s="62">
        <f>7590+284+587+1317+513+1360+405</f>
        <v>12056</v>
      </c>
      <c r="D21" s="1">
        <f>1500+3000+4000+500+3000+2000+8000+4000+5000</f>
        <v>31000</v>
      </c>
      <c r="E21" s="1">
        <f>1063+559-2</f>
        <v>1620</v>
      </c>
      <c r="F21" s="9"/>
    </row>
    <row r="22" spans="1:6" x14ac:dyDescent="0.25">
      <c r="C22" s="62"/>
      <c r="F22" s="9"/>
    </row>
    <row r="23" spans="1:6" x14ac:dyDescent="0.25">
      <c r="A23" s="1" t="s">
        <v>11</v>
      </c>
      <c r="B23" s="1" t="s">
        <v>3</v>
      </c>
      <c r="C23" s="62">
        <f>3990+800</f>
        <v>4790</v>
      </c>
      <c r="D23" s="1">
        <v>6000</v>
      </c>
      <c r="E23" s="1">
        <v>755</v>
      </c>
      <c r="F23" s="9"/>
    </row>
    <row r="24" spans="1:6" x14ac:dyDescent="0.25">
      <c r="B24" s="1" t="s">
        <v>5</v>
      </c>
      <c r="C24" s="62">
        <v>5431</v>
      </c>
      <c r="D24" s="1">
        <v>6500</v>
      </c>
      <c r="E24" s="1">
        <f>415+396</f>
        <v>811</v>
      </c>
      <c r="F24" s="9"/>
    </row>
    <row r="25" spans="1:6" x14ac:dyDescent="0.25">
      <c r="C25" s="62"/>
      <c r="F25" s="9"/>
    </row>
    <row r="26" spans="1:6" x14ac:dyDescent="0.25">
      <c r="A26" s="1" t="s">
        <v>12</v>
      </c>
      <c r="B26" s="1" t="s">
        <v>3</v>
      </c>
      <c r="C26" s="62"/>
      <c r="D26" s="1">
        <v>10400</v>
      </c>
      <c r="F26" s="9"/>
    </row>
    <row r="27" spans="1:6" x14ac:dyDescent="0.25">
      <c r="C27" s="62"/>
      <c r="F27" s="9"/>
    </row>
    <row r="28" spans="1:6" x14ac:dyDescent="0.25">
      <c r="A28" s="1" t="s">
        <v>13</v>
      </c>
      <c r="B28" s="1" t="s">
        <v>3</v>
      </c>
      <c r="C28" s="62"/>
      <c r="F28" s="9"/>
    </row>
    <row r="29" spans="1:6" x14ac:dyDescent="0.25">
      <c r="B29" s="1" t="s">
        <v>5</v>
      </c>
      <c r="C29" s="62">
        <f>398+64+2034+1297+2438</f>
        <v>6231</v>
      </c>
      <c r="D29" s="1">
        <f>1000+1000+2000+200+1600+700+1500+4000</f>
        <v>12000</v>
      </c>
      <c r="E29" s="1">
        <f>1289+60+841+989+1554</f>
        <v>4733</v>
      </c>
    </row>
    <row r="30" spans="1:6" x14ac:dyDescent="0.25">
      <c r="C30" s="62"/>
    </row>
    <row r="31" spans="1:6" x14ac:dyDescent="0.25">
      <c r="A31" s="1" t="s">
        <v>14</v>
      </c>
      <c r="B31" s="1" t="s">
        <v>3</v>
      </c>
      <c r="C31" s="62">
        <f>C5+C6+C10+C14+C17+C23+C26+C28</f>
        <v>162805</v>
      </c>
      <c r="D31" s="1">
        <f>D5+D10+D14+D17+D23+D26+D28</f>
        <v>288700</v>
      </c>
      <c r="E31" s="1">
        <f>E5+E10+E14+E17+E23+E26+E28</f>
        <v>118377</v>
      </c>
    </row>
    <row r="32" spans="1:6" x14ac:dyDescent="0.25">
      <c r="B32" s="1" t="s">
        <v>5</v>
      </c>
      <c r="C32" s="62">
        <f>C7+C8+C11+C12+C15+C18+C19+C21+C24+C29</f>
        <v>108569</v>
      </c>
      <c r="D32" s="1">
        <f>D7+D8+D11+D12+D15+D18+D19+D21+D24+D29</f>
        <v>358800</v>
      </c>
      <c r="E32" s="1">
        <f>E7+E8+E11+E12+E15+E18+E19+E21+E24+E29</f>
        <v>107317</v>
      </c>
    </row>
    <row r="33" spans="1:12" x14ac:dyDescent="0.25">
      <c r="C33" s="63">
        <f>C31-C32</f>
        <v>54236</v>
      </c>
      <c r="D33" s="1">
        <f>D31-D32</f>
        <v>-70100</v>
      </c>
      <c r="E33" s="6">
        <f>E31-E32</f>
        <v>11060</v>
      </c>
      <c r="F33" s="7"/>
      <c r="G33" s="1" t="s">
        <v>198</v>
      </c>
      <c r="L33" s="1"/>
    </row>
    <row r="34" spans="1:12" x14ac:dyDescent="0.25">
      <c r="H34" s="1">
        <v>19</v>
      </c>
      <c r="I34" s="1" t="s">
        <v>182</v>
      </c>
      <c r="L34" s="1"/>
    </row>
    <row r="35" spans="1:12" x14ac:dyDescent="0.25">
      <c r="H35" s="1">
        <v>5</v>
      </c>
      <c r="I35" s="1" t="s">
        <v>192</v>
      </c>
      <c r="L35" s="1"/>
    </row>
    <row r="36" spans="1:12" x14ac:dyDescent="0.25">
      <c r="A36" s="1" t="s">
        <v>134</v>
      </c>
      <c r="H36" s="1">
        <v>14</v>
      </c>
      <c r="I36" s="1" t="s">
        <v>193</v>
      </c>
      <c r="L36" s="1"/>
    </row>
    <row r="37" spans="1:12" x14ac:dyDescent="0.25">
      <c r="F37" s="5"/>
      <c r="G37" s="8"/>
      <c r="H37" s="1">
        <v>6</v>
      </c>
      <c r="I37" s="1" t="s">
        <v>184</v>
      </c>
      <c r="L37" s="1"/>
    </row>
    <row r="38" spans="1:12" x14ac:dyDescent="0.25">
      <c r="A38" s="1" t="s">
        <v>15</v>
      </c>
      <c r="B38" s="54">
        <v>638632</v>
      </c>
      <c r="E38" s="9"/>
      <c r="H38" s="1">
        <v>11.5</v>
      </c>
      <c r="I38" s="1" t="s">
        <v>195</v>
      </c>
      <c r="L38" s="1"/>
    </row>
    <row r="39" spans="1:12" x14ac:dyDescent="0.25">
      <c r="I39" s="1" t="s">
        <v>199</v>
      </c>
      <c r="L39" s="1"/>
    </row>
    <row r="40" spans="1:12" s="4" customFormat="1" ht="15" customHeight="1" x14ac:dyDescent="0.25">
      <c r="A40" s="66" t="s">
        <v>197</v>
      </c>
      <c r="B40" s="66"/>
      <c r="D40" s="1"/>
      <c r="G40" s="1"/>
      <c r="H40" s="1">
        <v>-10</v>
      </c>
      <c r="I40" s="1" t="s">
        <v>194</v>
      </c>
      <c r="J40" s="1"/>
      <c r="K40" s="1"/>
      <c r="L40" s="1"/>
    </row>
    <row r="41" spans="1:12" x14ac:dyDescent="0.25">
      <c r="A41" s="10"/>
      <c r="H41" s="1">
        <v>-2.5</v>
      </c>
      <c r="I41" s="1" t="s">
        <v>187</v>
      </c>
      <c r="L41" s="1"/>
    </row>
    <row r="42" spans="1:12" x14ac:dyDescent="0.25">
      <c r="H42" s="1">
        <f>SUM(H34:H41)</f>
        <v>43</v>
      </c>
      <c r="L42" s="1"/>
    </row>
  </sheetData>
  <mergeCells count="1">
    <mergeCell ref="A40:B40"/>
  </mergeCells>
  <pageMargins left="0.7" right="0.7" top="0.75" bottom="0.75" header="0.3" footer="0.3"/>
  <pageSetup paperSize="9" scale="71" fitToHeight="0" orientation="landscape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48"/>
  <sheetViews>
    <sheetView topLeftCell="A14" workbookViewId="0">
      <selection activeCell="G33" sqref="G33:L42"/>
    </sheetView>
  </sheetViews>
  <sheetFormatPr defaultRowHeight="15" x14ac:dyDescent="0.25"/>
  <cols>
    <col min="1" max="1" width="25.85546875" style="1" customWidth="1"/>
    <col min="2" max="2" width="15.42578125" style="1" customWidth="1"/>
    <col min="3" max="3" width="13.85546875" customWidth="1"/>
    <col min="4" max="4" width="13.85546875" style="1" customWidth="1"/>
    <col min="5" max="5" width="15.42578125" style="1" customWidth="1"/>
    <col min="6" max="6" width="13.42578125" style="1" customWidth="1"/>
    <col min="7" max="7" width="10.85546875" style="4" customWidth="1"/>
    <col min="8" max="16384" width="9.140625" style="1"/>
  </cols>
  <sheetData>
    <row r="1" spans="1:6" x14ac:dyDescent="0.25">
      <c r="A1" s="1" t="s">
        <v>0</v>
      </c>
    </row>
    <row r="3" spans="1:6" x14ac:dyDescent="0.25">
      <c r="A3" s="1" t="s">
        <v>139</v>
      </c>
      <c r="C3" t="s">
        <v>141</v>
      </c>
      <c r="D3" s="2" t="s">
        <v>1</v>
      </c>
      <c r="E3" s="2" t="s">
        <v>140</v>
      </c>
    </row>
    <row r="5" spans="1:6" x14ac:dyDescent="0.25">
      <c r="A5" s="1" t="s">
        <v>2</v>
      </c>
      <c r="B5" s="1" t="s">
        <v>3</v>
      </c>
      <c r="C5" s="62">
        <f>SUM(84679+2000+30600)</f>
        <v>117279</v>
      </c>
      <c r="D5" s="1">
        <f>93600+4000+96000</f>
        <v>193600</v>
      </c>
      <c r="E5" s="1">
        <f>43417+1150+58775</f>
        <v>103342</v>
      </c>
      <c r="F5" s="9"/>
    </row>
    <row r="6" spans="1:6" x14ac:dyDescent="0.25">
      <c r="B6" s="1" t="s">
        <v>12</v>
      </c>
      <c r="C6" s="62">
        <v>10000</v>
      </c>
      <c r="F6" s="9"/>
    </row>
    <row r="7" spans="1:6" x14ac:dyDescent="0.25">
      <c r="B7" s="1" t="s">
        <v>4</v>
      </c>
      <c r="C7" s="62">
        <v>21560</v>
      </c>
      <c r="D7" s="1">
        <v>70400</v>
      </c>
      <c r="E7" s="1">
        <v>35520</v>
      </c>
      <c r="F7" s="9"/>
    </row>
    <row r="8" spans="1:6" x14ac:dyDescent="0.25">
      <c r="B8" s="1" t="s">
        <v>5</v>
      </c>
      <c r="C8" s="62">
        <f>SUM(13000)</f>
        <v>13000</v>
      </c>
      <c r="D8" s="1">
        <f>12500+15000+8000+4000+3000</f>
        <v>42500</v>
      </c>
      <c r="E8" s="1">
        <f>2363+14980</f>
        <v>17343</v>
      </c>
    </row>
    <row r="9" spans="1:6" x14ac:dyDescent="0.25">
      <c r="C9" s="62"/>
      <c r="F9" s="9"/>
    </row>
    <row r="10" spans="1:6" x14ac:dyDescent="0.25">
      <c r="A10" s="1" t="s">
        <v>6</v>
      </c>
      <c r="B10" s="1" t="s">
        <v>3</v>
      </c>
      <c r="C10" s="62">
        <f>SUM(5700+4950+10850+600+560)</f>
        <v>22660</v>
      </c>
      <c r="D10" s="1">
        <f>1700+4000+6300+10000+4200+1500+2000</f>
        <v>29700</v>
      </c>
      <c r="E10" s="1">
        <f>8750+1300</f>
        <v>10050</v>
      </c>
      <c r="F10" s="9"/>
    </row>
    <row r="11" spans="1:6" x14ac:dyDescent="0.25">
      <c r="B11" s="1" t="s">
        <v>5</v>
      </c>
      <c r="C11" s="62">
        <f>1500+94+3302+1600+117</f>
        <v>6613</v>
      </c>
      <c r="D11" s="1">
        <f>9000+500+1700+3000+6000+4000+5000+500</f>
        <v>29700</v>
      </c>
      <c r="E11" s="1">
        <f>512+2518</f>
        <v>3030</v>
      </c>
      <c r="F11" s="9"/>
    </row>
    <row r="12" spans="1:6" x14ac:dyDescent="0.25">
      <c r="B12" s="1" t="s">
        <v>7</v>
      </c>
      <c r="C12" s="1">
        <v>1839</v>
      </c>
      <c r="D12" s="1">
        <v>2500</v>
      </c>
      <c r="F12" s="9"/>
    </row>
    <row r="13" spans="1:6" x14ac:dyDescent="0.25">
      <c r="C13" s="62"/>
      <c r="F13" s="9"/>
    </row>
    <row r="14" spans="1:6" x14ac:dyDescent="0.25">
      <c r="A14" s="1" t="s">
        <v>8</v>
      </c>
      <c r="B14" s="1" t="s">
        <v>3</v>
      </c>
      <c r="C14" s="62">
        <v>1200</v>
      </c>
      <c r="F14" s="9"/>
    </row>
    <row r="15" spans="1:6" x14ac:dyDescent="0.25">
      <c r="B15" s="1" t="s">
        <v>5</v>
      </c>
      <c r="C15" s="62">
        <f>14100+3553+17101+1706+2222+11499+3195</f>
        <v>53376</v>
      </c>
      <c r="D15" s="1">
        <f>14100+8500+40000+3500+50000+16000+5000+6800+11300</f>
        <v>155200</v>
      </c>
      <c r="E15" s="1">
        <f>13800+3538+14220+19960+1574+7893</f>
        <v>60985</v>
      </c>
    </row>
    <row r="16" spans="1:6" x14ac:dyDescent="0.25">
      <c r="C16" s="62"/>
      <c r="F16" s="9"/>
    </row>
    <row r="17" spans="1:7" x14ac:dyDescent="0.25">
      <c r="A17" s="1" t="s">
        <v>9</v>
      </c>
      <c r="B17" s="1" t="s">
        <v>3</v>
      </c>
      <c r="C17" s="62">
        <v>20115</v>
      </c>
      <c r="D17" s="1">
        <v>49000</v>
      </c>
      <c r="E17" s="1">
        <v>21380</v>
      </c>
      <c r="F17" s="9"/>
    </row>
    <row r="18" spans="1:7" x14ac:dyDescent="0.25">
      <c r="B18" s="1" t="s">
        <v>5</v>
      </c>
      <c r="C18" s="62"/>
      <c r="D18" s="1">
        <f>1500</f>
        <v>1500</v>
      </c>
      <c r="E18" s="1">
        <v>870</v>
      </c>
      <c r="F18" s="9"/>
    </row>
    <row r="19" spans="1:7" x14ac:dyDescent="0.25">
      <c r="B19" s="1" t="s">
        <v>10</v>
      </c>
      <c r="C19" s="62">
        <v>4329</v>
      </c>
      <c r="D19" s="1">
        <v>7500</v>
      </c>
      <c r="E19" s="1">
        <v>4006</v>
      </c>
      <c r="F19" s="9"/>
    </row>
    <row r="20" spans="1:7" x14ac:dyDescent="0.25">
      <c r="C20" s="62"/>
      <c r="F20" s="9"/>
    </row>
    <row r="21" spans="1:7" ht="30" x14ac:dyDescent="0.25">
      <c r="A21" s="4" t="s">
        <v>16</v>
      </c>
      <c r="B21" s="1" t="s">
        <v>5</v>
      </c>
      <c r="C21" s="62">
        <f>7590+2398+284+587+1828+513+1360+405</f>
        <v>14965</v>
      </c>
      <c r="D21" s="1">
        <f>1500+3000+4000+500+3000+2000+8000+4000+5000</f>
        <v>31000</v>
      </c>
      <c r="E21" s="1">
        <f>1063+1306+559-2</f>
        <v>2926</v>
      </c>
      <c r="F21" s="9"/>
    </row>
    <row r="22" spans="1:7" x14ac:dyDescent="0.25">
      <c r="C22" s="62"/>
      <c r="F22" s="9"/>
    </row>
    <row r="23" spans="1:7" x14ac:dyDescent="0.25">
      <c r="A23" s="1" t="s">
        <v>11</v>
      </c>
      <c r="B23" s="1" t="s">
        <v>3</v>
      </c>
      <c r="C23" s="62">
        <f>4450+800</f>
        <v>5250</v>
      </c>
      <c r="D23" s="1">
        <v>6000</v>
      </c>
      <c r="E23" s="1">
        <v>875</v>
      </c>
      <c r="F23" s="9"/>
    </row>
    <row r="24" spans="1:7" x14ac:dyDescent="0.25">
      <c r="B24" s="1" t="s">
        <v>5</v>
      </c>
      <c r="C24" s="62">
        <v>6429</v>
      </c>
      <c r="D24" s="1">
        <v>6500</v>
      </c>
      <c r="E24" s="1">
        <f>415+968</f>
        <v>1383</v>
      </c>
      <c r="F24" s="9"/>
    </row>
    <row r="25" spans="1:7" x14ac:dyDescent="0.25">
      <c r="C25" s="62"/>
      <c r="F25" s="9"/>
    </row>
    <row r="26" spans="1:7" x14ac:dyDescent="0.25">
      <c r="A26" s="1" t="s">
        <v>12</v>
      </c>
      <c r="B26" s="1" t="s">
        <v>3</v>
      </c>
      <c r="C26" s="62"/>
      <c r="D26" s="1">
        <v>10400</v>
      </c>
      <c r="F26" s="9"/>
    </row>
    <row r="27" spans="1:7" x14ac:dyDescent="0.25">
      <c r="C27" s="62"/>
      <c r="F27" s="9"/>
    </row>
    <row r="28" spans="1:7" x14ac:dyDescent="0.25">
      <c r="A28" s="1" t="s">
        <v>13</v>
      </c>
      <c r="B28" s="1" t="s">
        <v>3</v>
      </c>
      <c r="C28" s="62"/>
      <c r="F28" s="9"/>
    </row>
    <row r="29" spans="1:7" x14ac:dyDescent="0.25">
      <c r="B29" s="1" t="s">
        <v>5</v>
      </c>
      <c r="C29" s="62">
        <f>398+64+2034+1446+2438</f>
        <v>6380</v>
      </c>
      <c r="D29" s="1">
        <f>1000+1000+2000+200+1600+700+1500+4000</f>
        <v>12000</v>
      </c>
      <c r="E29" s="1">
        <f>5286+60+189+841+1065+1+1554</f>
        <v>8996</v>
      </c>
    </row>
    <row r="30" spans="1:7" x14ac:dyDescent="0.25">
      <c r="C30" s="62"/>
    </row>
    <row r="31" spans="1:7" x14ac:dyDescent="0.25">
      <c r="A31" s="1" t="s">
        <v>14</v>
      </c>
      <c r="B31" s="1" t="s">
        <v>3</v>
      </c>
      <c r="C31" s="62">
        <f>C5+C6+C10+C14+C17+C23+C26+C28</f>
        <v>176504</v>
      </c>
      <c r="D31" s="1">
        <f>D5+D10+D14+D17+D23+D26+D28</f>
        <v>288700</v>
      </c>
      <c r="E31" s="1">
        <f>E5+E10+E14+E17+E23+E26+E28</f>
        <v>135647</v>
      </c>
      <c r="G31" s="1"/>
    </row>
    <row r="32" spans="1:7" x14ac:dyDescent="0.25">
      <c r="B32" s="1" t="s">
        <v>5</v>
      </c>
      <c r="C32" s="62">
        <f>C7+C8+C11+C12+C15+C18+C19+C21+C24+C29</f>
        <v>128491</v>
      </c>
      <c r="D32" s="1">
        <f>D7+D8+D11+D12+D15+D18+D19+D21+D24+D29</f>
        <v>358800</v>
      </c>
      <c r="E32" s="1">
        <f>E7+E8+E11+E12+E15+E18+E19+E21+E24+E29</f>
        <v>135059</v>
      </c>
      <c r="G32" s="55"/>
    </row>
    <row r="33" spans="1:10" x14ac:dyDescent="0.25">
      <c r="C33" s="63">
        <f>C31-C32</f>
        <v>48013</v>
      </c>
      <c r="D33" s="1">
        <f>D31-D32</f>
        <v>-70100</v>
      </c>
      <c r="E33" s="6">
        <f>E31-E32</f>
        <v>588</v>
      </c>
      <c r="F33" s="7"/>
      <c r="G33" s="1" t="s">
        <v>201</v>
      </c>
    </row>
    <row r="34" spans="1:10" x14ac:dyDescent="0.25">
      <c r="G34" s="1"/>
      <c r="H34" s="1">
        <v>14</v>
      </c>
      <c r="I34" s="1" t="s">
        <v>2</v>
      </c>
      <c r="J34" s="1" t="s">
        <v>182</v>
      </c>
    </row>
    <row r="35" spans="1:10" x14ac:dyDescent="0.25">
      <c r="C35" s="1"/>
      <c r="G35" s="1"/>
      <c r="H35" s="1">
        <v>14</v>
      </c>
      <c r="I35" s="1" t="s">
        <v>2</v>
      </c>
      <c r="J35" s="1" t="s">
        <v>192</v>
      </c>
    </row>
    <row r="36" spans="1:10" x14ac:dyDescent="0.25">
      <c r="A36" s="1" t="s">
        <v>138</v>
      </c>
      <c r="G36" s="1"/>
      <c r="H36" s="1">
        <v>14</v>
      </c>
      <c r="I36" s="1" t="s">
        <v>2</v>
      </c>
      <c r="J36" s="1" t="s">
        <v>193</v>
      </c>
    </row>
    <row r="37" spans="1:10" x14ac:dyDescent="0.25">
      <c r="F37" s="5"/>
      <c r="G37" s="8"/>
      <c r="H37" s="1">
        <v>7</v>
      </c>
      <c r="I37" s="1" t="s">
        <v>6</v>
      </c>
      <c r="J37" s="1" t="s">
        <v>202</v>
      </c>
    </row>
    <row r="38" spans="1:10" x14ac:dyDescent="0.25">
      <c r="A38" s="1" t="s">
        <v>15</v>
      </c>
      <c r="B38" s="56">
        <v>632410</v>
      </c>
      <c r="E38" s="9"/>
      <c r="G38" s="1"/>
      <c r="H38" s="1">
        <v>9</v>
      </c>
      <c r="I38" s="1" t="s">
        <v>203</v>
      </c>
      <c r="J38" s="1" t="s">
        <v>206</v>
      </c>
    </row>
    <row r="39" spans="1:10" ht="15" customHeight="1" x14ac:dyDescent="0.25">
      <c r="G39" s="1"/>
      <c r="J39" s="1" t="s">
        <v>205</v>
      </c>
    </row>
    <row r="40" spans="1:10" x14ac:dyDescent="0.25">
      <c r="A40" s="9" t="s">
        <v>200</v>
      </c>
      <c r="G40" s="1"/>
      <c r="H40" s="1">
        <v>-12</v>
      </c>
      <c r="I40" s="1" t="s">
        <v>204</v>
      </c>
      <c r="J40" s="1" t="s">
        <v>194</v>
      </c>
    </row>
    <row r="41" spans="1:10" x14ac:dyDescent="0.25">
      <c r="A41" s="10"/>
      <c r="G41" s="1"/>
      <c r="H41" s="1">
        <v>-2.5</v>
      </c>
      <c r="I41" s="1" t="s">
        <v>13</v>
      </c>
      <c r="J41" s="1" t="s">
        <v>187</v>
      </c>
    </row>
    <row r="42" spans="1:10" x14ac:dyDescent="0.25">
      <c r="G42" s="1"/>
      <c r="H42" s="1">
        <f>SUM(H34:H41)</f>
        <v>43.5</v>
      </c>
    </row>
    <row r="43" spans="1:10" x14ac:dyDescent="0.25">
      <c r="G43" s="1"/>
    </row>
    <row r="44" spans="1:10" x14ac:dyDescent="0.25">
      <c r="G44" s="1"/>
    </row>
    <row r="45" spans="1:10" x14ac:dyDescent="0.25">
      <c r="G45" s="1"/>
    </row>
    <row r="46" spans="1:10" x14ac:dyDescent="0.25">
      <c r="G46" s="1"/>
    </row>
    <row r="47" spans="1:10" x14ac:dyDescent="0.25">
      <c r="G47" s="1"/>
    </row>
    <row r="48" spans="1:10" x14ac:dyDescent="0.25">
      <c r="G48" s="1"/>
    </row>
  </sheetData>
  <pageMargins left="0.7" right="0.7" top="0.75" bottom="0.75" header="0.3" footer="0.3"/>
  <pageSetup paperSize="9" scale="6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52"/>
  <sheetViews>
    <sheetView topLeftCell="A16" workbookViewId="0">
      <selection activeCell="G33" sqref="G33:J44"/>
    </sheetView>
  </sheetViews>
  <sheetFormatPr defaultRowHeight="15" x14ac:dyDescent="0.25"/>
  <cols>
    <col min="1" max="1" width="32.140625" style="1" customWidth="1"/>
    <col min="2" max="2" width="15.42578125" style="1" customWidth="1"/>
    <col min="3" max="3" width="16.5703125" customWidth="1"/>
    <col min="4" max="4" width="13.85546875" style="1" customWidth="1"/>
    <col min="5" max="5" width="15.42578125" style="1" customWidth="1"/>
    <col min="6" max="6" width="11.85546875" style="1" customWidth="1"/>
    <col min="7" max="7" width="7.85546875" style="13" customWidth="1"/>
    <col min="8" max="8" width="9.140625" style="1"/>
    <col min="9" max="9" width="12.28515625" customWidth="1"/>
  </cols>
  <sheetData>
    <row r="1" spans="1:7" x14ac:dyDescent="0.25">
      <c r="A1" s="1" t="s">
        <v>0</v>
      </c>
    </row>
    <row r="3" spans="1:7" x14ac:dyDescent="0.25">
      <c r="A3" s="1" t="s">
        <v>143</v>
      </c>
      <c r="C3" t="s">
        <v>145</v>
      </c>
      <c r="D3" s="2" t="s">
        <v>1</v>
      </c>
      <c r="E3" s="2" t="s">
        <v>144</v>
      </c>
    </row>
    <row r="5" spans="1:7" x14ac:dyDescent="0.25">
      <c r="A5" s="1" t="s">
        <v>2</v>
      </c>
      <c r="B5" s="1" t="s">
        <v>3</v>
      </c>
      <c r="C5" s="62">
        <f>SUM(102899+2250+36600+630)</f>
        <v>142379</v>
      </c>
      <c r="D5" s="1">
        <f>93600+4000+96000</f>
        <v>193600</v>
      </c>
      <c r="E5" s="1">
        <f>55577+1850+68375</f>
        <v>125802</v>
      </c>
      <c r="F5" s="9"/>
    </row>
    <row r="6" spans="1:7" s="1" customFormat="1" x14ac:dyDescent="0.25">
      <c r="B6" s="1" t="s">
        <v>12</v>
      </c>
      <c r="C6" s="62">
        <v>10000</v>
      </c>
      <c r="F6" s="9"/>
      <c r="G6" s="13"/>
    </row>
    <row r="7" spans="1:7" x14ac:dyDescent="0.25">
      <c r="B7" s="1" t="s">
        <v>4</v>
      </c>
      <c r="C7" s="62">
        <v>21560</v>
      </c>
      <c r="D7" s="1">
        <v>70400</v>
      </c>
      <c r="E7" s="1">
        <v>35520</v>
      </c>
      <c r="F7" s="9"/>
    </row>
    <row r="8" spans="1:7" x14ac:dyDescent="0.25">
      <c r="B8" s="1" t="s">
        <v>5</v>
      </c>
      <c r="C8" s="62">
        <f>SUM(13000)</f>
        <v>13000</v>
      </c>
      <c r="D8" s="1">
        <f>12500+15000+8000+4000+3000</f>
        <v>42500</v>
      </c>
      <c r="E8" s="1">
        <f>2363+14980</f>
        <v>17343</v>
      </c>
      <c r="F8" s="9"/>
      <c r="G8" s="14"/>
    </row>
    <row r="9" spans="1:7" x14ac:dyDescent="0.25">
      <c r="C9" s="62"/>
      <c r="F9" s="9"/>
    </row>
    <row r="10" spans="1:7" x14ac:dyDescent="0.25">
      <c r="A10" s="1" t="s">
        <v>6</v>
      </c>
      <c r="B10" s="1" t="s">
        <v>3</v>
      </c>
      <c r="C10" s="62">
        <f>SUM(5700+4950+8400+1200+850)</f>
        <v>21100</v>
      </c>
      <c r="D10" s="1">
        <f>1700+4000+6300+10000+4200+1500+2000</f>
        <v>29700</v>
      </c>
      <c r="E10" s="1">
        <f>8050+300+1300</f>
        <v>9650</v>
      </c>
      <c r="F10" s="9"/>
    </row>
    <row r="11" spans="1:7" x14ac:dyDescent="0.25">
      <c r="B11" s="1" t="s">
        <v>5</v>
      </c>
      <c r="C11" s="62">
        <f>1500+94+3302+1600+4679</f>
        <v>11175</v>
      </c>
      <c r="D11" s="1">
        <f>9000+500+1700+3000+6000+4000+5000+500</f>
        <v>29700</v>
      </c>
      <c r="E11" s="1">
        <f>512+6776</f>
        <v>7288</v>
      </c>
      <c r="F11" s="9"/>
    </row>
    <row r="12" spans="1:7" x14ac:dyDescent="0.25">
      <c r="B12" s="1" t="s">
        <v>7</v>
      </c>
      <c r="C12" s="1">
        <v>1839</v>
      </c>
      <c r="D12" s="1">
        <v>2500</v>
      </c>
      <c r="F12" s="9"/>
    </row>
    <row r="13" spans="1:7" x14ac:dyDescent="0.25">
      <c r="C13" s="62"/>
      <c r="F13" s="9"/>
    </row>
    <row r="14" spans="1:7" x14ac:dyDescent="0.25">
      <c r="A14" s="1" t="s">
        <v>8</v>
      </c>
      <c r="B14" s="1" t="s">
        <v>3</v>
      </c>
      <c r="C14" s="62">
        <v>1200</v>
      </c>
      <c r="F14" s="9"/>
      <c r="G14" s="57"/>
    </row>
    <row r="15" spans="1:7" x14ac:dyDescent="0.25">
      <c r="B15" s="1" t="s">
        <v>5</v>
      </c>
      <c r="C15" s="62">
        <f>14100+3553+18731+1706+3333+12987+3195+7005</f>
        <v>64610</v>
      </c>
      <c r="D15" s="1">
        <f>14100+8500+40000+3500+50000+16000+5000+6800+11300</f>
        <v>155200</v>
      </c>
      <c r="E15" s="1">
        <f>13800+3538+15180+19960+1574+10276+140+6576</f>
        <v>71044</v>
      </c>
      <c r="G15" s="58"/>
    </row>
    <row r="16" spans="1:7" x14ac:dyDescent="0.25">
      <c r="C16" s="62"/>
      <c r="F16" s="9"/>
      <c r="G16" s="57"/>
    </row>
    <row r="17" spans="1:7" x14ac:dyDescent="0.25">
      <c r="A17" s="1" t="s">
        <v>9</v>
      </c>
      <c r="B17" s="1" t="s">
        <v>3</v>
      </c>
      <c r="C17" s="62">
        <v>24355</v>
      </c>
      <c r="D17" s="1">
        <v>49000</v>
      </c>
      <c r="E17" s="1">
        <v>31090</v>
      </c>
      <c r="F17" s="9"/>
      <c r="G17" s="57"/>
    </row>
    <row r="18" spans="1:7" x14ac:dyDescent="0.25">
      <c r="B18" s="1" t="s">
        <v>5</v>
      </c>
      <c r="C18" s="62">
        <v>1175</v>
      </c>
      <c r="D18" s="1">
        <f>1500</f>
        <v>1500</v>
      </c>
      <c r="E18" s="1">
        <v>870</v>
      </c>
      <c r="F18" s="9"/>
    </row>
    <row r="19" spans="1:7" x14ac:dyDescent="0.25">
      <c r="B19" s="1" t="s">
        <v>10</v>
      </c>
      <c r="C19" s="62">
        <v>4329</v>
      </c>
      <c r="D19" s="1">
        <v>7500</v>
      </c>
      <c r="E19" s="1">
        <v>4006</v>
      </c>
      <c r="F19" s="9"/>
    </row>
    <row r="20" spans="1:7" x14ac:dyDescent="0.25">
      <c r="C20" s="62"/>
      <c r="F20" s="9"/>
    </row>
    <row r="21" spans="1:7" ht="30" x14ac:dyDescent="0.25">
      <c r="A21" s="4" t="s">
        <v>16</v>
      </c>
      <c r="B21" s="1" t="s">
        <v>5</v>
      </c>
      <c r="C21" s="62">
        <f>7829+2398+284+587+1828+513+2043+405</f>
        <v>15887</v>
      </c>
      <c r="D21" s="1">
        <f>1500+3000+4000+500+3000+2000+8000+4000+5000</f>
        <v>31000</v>
      </c>
      <c r="E21" s="1">
        <f>1063+1306+96+559</f>
        <v>3024</v>
      </c>
      <c r="F21" s="9"/>
      <c r="G21" s="14"/>
    </row>
    <row r="22" spans="1:7" x14ac:dyDescent="0.25">
      <c r="C22" s="62"/>
      <c r="F22" s="9"/>
    </row>
    <row r="23" spans="1:7" x14ac:dyDescent="0.25">
      <c r="A23" s="1" t="s">
        <v>11</v>
      </c>
      <c r="B23" s="1" t="s">
        <v>3</v>
      </c>
      <c r="C23" s="62">
        <f>4910+1960</f>
        <v>6870</v>
      </c>
      <c r="D23" s="1">
        <v>6000</v>
      </c>
      <c r="E23" s="1">
        <v>1635</v>
      </c>
      <c r="F23" s="9"/>
    </row>
    <row r="24" spans="1:7" x14ac:dyDescent="0.25">
      <c r="B24" s="1" t="s">
        <v>5</v>
      </c>
      <c r="C24" s="62">
        <v>9147</v>
      </c>
      <c r="D24" s="1">
        <v>6500</v>
      </c>
      <c r="E24" s="1">
        <f>415+1228</f>
        <v>1643</v>
      </c>
      <c r="F24" s="9"/>
    </row>
    <row r="25" spans="1:7" x14ac:dyDescent="0.25">
      <c r="C25" s="62"/>
      <c r="F25" s="9"/>
    </row>
    <row r="26" spans="1:7" x14ac:dyDescent="0.25">
      <c r="A26" s="1" t="s">
        <v>12</v>
      </c>
      <c r="B26" s="1" t="s">
        <v>3</v>
      </c>
      <c r="C26" s="62"/>
      <c r="D26" s="1">
        <v>10400</v>
      </c>
      <c r="F26" s="9"/>
    </row>
    <row r="27" spans="1:7" x14ac:dyDescent="0.25">
      <c r="C27" s="62"/>
      <c r="F27" s="9"/>
    </row>
    <row r="28" spans="1:7" x14ac:dyDescent="0.25">
      <c r="A28" s="1" t="s">
        <v>13</v>
      </c>
      <c r="B28" s="1" t="s">
        <v>3</v>
      </c>
      <c r="C28" s="62"/>
      <c r="F28" s="9"/>
    </row>
    <row r="29" spans="1:7" x14ac:dyDescent="0.25">
      <c r="B29" s="1" t="s">
        <v>5</v>
      </c>
      <c r="C29" s="62">
        <f>1264+398+263+2034+1446+2438</f>
        <v>7843</v>
      </c>
      <c r="D29" s="1">
        <f>1000+1000+2000+200+1600+700+1500+4000</f>
        <v>12000</v>
      </c>
      <c r="E29" s="1">
        <f>56+5286+189+1884+1065+1+1554</f>
        <v>10035</v>
      </c>
      <c r="F29" s="9"/>
      <c r="G29" s="14"/>
    </row>
    <row r="30" spans="1:7" x14ac:dyDescent="0.25">
      <c r="C30" s="62"/>
    </row>
    <row r="31" spans="1:7" x14ac:dyDescent="0.25">
      <c r="A31" s="1" t="s">
        <v>14</v>
      </c>
      <c r="B31" s="1" t="s">
        <v>3</v>
      </c>
      <c r="C31" s="62">
        <f>C5+C6+C10+C14+C17+C23+C26+C28</f>
        <v>205904</v>
      </c>
      <c r="D31" s="1">
        <f>D5+D10+D14+D17+D23+D26+D28</f>
        <v>288700</v>
      </c>
      <c r="E31" s="1">
        <f>E5+E10+E14+E17+E23+E26+E28</f>
        <v>168177</v>
      </c>
    </row>
    <row r="32" spans="1:7" x14ac:dyDescent="0.25">
      <c r="B32" s="1" t="s">
        <v>5</v>
      </c>
      <c r="C32" s="62">
        <f>C7+C8+C11+C12+C15+C18+C19+C21+C24+C29</f>
        <v>150565</v>
      </c>
      <c r="D32" s="1">
        <f>D7+D8+D11+D12+D15+D18+D19+D21+D24+D29</f>
        <v>358800</v>
      </c>
      <c r="E32" s="1">
        <f>E7+E8+E11+E12+E15+E18+E19+E21+E24+E29</f>
        <v>150773</v>
      </c>
    </row>
    <row r="33" spans="1:12" x14ac:dyDescent="0.25">
      <c r="C33" s="63">
        <f>C31-C32</f>
        <v>55339</v>
      </c>
      <c r="D33" s="1">
        <f>D31-D32</f>
        <v>-70100</v>
      </c>
      <c r="E33" s="6">
        <f>E31-E32</f>
        <v>17404</v>
      </c>
      <c r="G33" s="1" t="s">
        <v>208</v>
      </c>
      <c r="I33" s="1"/>
      <c r="J33" s="1"/>
      <c r="K33" s="1"/>
      <c r="L33" s="1"/>
    </row>
    <row r="34" spans="1:12" x14ac:dyDescent="0.25">
      <c r="G34" s="1"/>
      <c r="H34" s="1">
        <v>17</v>
      </c>
      <c r="I34" s="1" t="s">
        <v>2</v>
      </c>
      <c r="J34" s="1" t="s">
        <v>182</v>
      </c>
      <c r="K34" s="1"/>
      <c r="L34" s="1"/>
    </row>
    <row r="35" spans="1:12" x14ac:dyDescent="0.25">
      <c r="G35" s="1"/>
      <c r="H35" s="1">
        <v>14</v>
      </c>
      <c r="I35" s="1" t="s">
        <v>2</v>
      </c>
      <c r="J35" s="1" t="s">
        <v>192</v>
      </c>
      <c r="K35" s="1"/>
      <c r="L35" s="1"/>
    </row>
    <row r="36" spans="1:12" x14ac:dyDescent="0.25">
      <c r="A36" s="1" t="s">
        <v>142</v>
      </c>
      <c r="G36" s="1"/>
      <c r="H36" s="1">
        <v>14</v>
      </c>
      <c r="I36" s="1" t="s">
        <v>2</v>
      </c>
      <c r="J36" s="1" t="s">
        <v>193</v>
      </c>
      <c r="K36" s="1"/>
      <c r="L36" s="1"/>
    </row>
    <row r="37" spans="1:12" x14ac:dyDescent="0.25">
      <c r="G37" s="8"/>
      <c r="H37" s="1">
        <v>6</v>
      </c>
      <c r="I37" s="1" t="s">
        <v>6</v>
      </c>
      <c r="J37" s="1" t="s">
        <v>202</v>
      </c>
      <c r="K37" s="1"/>
      <c r="L37" s="1"/>
    </row>
    <row r="38" spans="1:12" x14ac:dyDescent="0.25">
      <c r="A38" s="1" t="s">
        <v>15</v>
      </c>
      <c r="B38" s="56">
        <v>635458</v>
      </c>
      <c r="E38" s="9"/>
      <c r="G38" s="1"/>
      <c r="H38" s="1">
        <v>8</v>
      </c>
      <c r="I38" s="1" t="s">
        <v>203</v>
      </c>
      <c r="J38" s="1" t="s">
        <v>206</v>
      </c>
      <c r="K38" s="1"/>
      <c r="L38" s="1"/>
    </row>
    <row r="39" spans="1:12" x14ac:dyDescent="0.25">
      <c r="G39" s="1"/>
      <c r="I39" s="1"/>
      <c r="J39" s="1" t="s">
        <v>209</v>
      </c>
      <c r="K39" s="1"/>
      <c r="L39" s="1"/>
    </row>
    <row r="40" spans="1:12" x14ac:dyDescent="0.25">
      <c r="A40" s="9" t="s">
        <v>207</v>
      </c>
      <c r="B40" s="11"/>
      <c r="E40" s="11"/>
      <c r="G40" s="1"/>
      <c r="H40" s="1">
        <v>-7</v>
      </c>
      <c r="I40" t="s">
        <v>211</v>
      </c>
      <c r="J40" t="s">
        <v>212</v>
      </c>
      <c r="L40" s="1"/>
    </row>
    <row r="41" spans="1:12" s="4" customFormat="1" x14ac:dyDescent="0.25">
      <c r="A41" s="59"/>
      <c r="D41" s="1"/>
      <c r="G41" s="1"/>
      <c r="H41" s="1">
        <v>-12</v>
      </c>
      <c r="I41" s="1" t="s">
        <v>204</v>
      </c>
      <c r="J41" s="1" t="s">
        <v>194</v>
      </c>
      <c r="K41" s="1"/>
      <c r="L41" s="1"/>
    </row>
    <row r="42" spans="1:12" x14ac:dyDescent="0.25">
      <c r="G42" s="1"/>
      <c r="H42" s="4">
        <v>-3</v>
      </c>
      <c r="I42" s="4" t="s">
        <v>11</v>
      </c>
      <c r="J42" s="64" t="s">
        <v>210</v>
      </c>
      <c r="K42" s="1"/>
      <c r="L42" s="1"/>
    </row>
    <row r="43" spans="1:12" s="4" customFormat="1" x14ac:dyDescent="0.25">
      <c r="D43" s="1"/>
      <c r="G43" s="13"/>
      <c r="H43" s="1">
        <v>-2</v>
      </c>
      <c r="I43" s="1" t="s">
        <v>13</v>
      </c>
      <c r="J43" s="1" t="s">
        <v>187</v>
      </c>
      <c r="K43" s="1"/>
    </row>
    <row r="44" spans="1:12" x14ac:dyDescent="0.25">
      <c r="H44" s="1">
        <f>SUM(H34:H43)</f>
        <v>35</v>
      </c>
      <c r="I44" s="1"/>
      <c r="J44" s="1"/>
      <c r="K44" s="4"/>
    </row>
    <row r="45" spans="1:12" s="1" customFormat="1" x14ac:dyDescent="0.25">
      <c r="G45" s="13"/>
    </row>
    <row r="46" spans="1:12" s="1" customFormat="1" x14ac:dyDescent="0.25">
      <c r="G46" s="13"/>
    </row>
    <row r="48" spans="1:12" s="4" customFormat="1" x14ac:dyDescent="0.25">
      <c r="D48" s="1"/>
      <c r="F48" s="1"/>
      <c r="G48" s="13"/>
    </row>
    <row r="49" spans="4:7" s="4" customFormat="1" x14ac:dyDescent="0.25">
      <c r="D49" s="1"/>
      <c r="F49" s="1"/>
      <c r="G49" s="13"/>
    </row>
    <row r="50" spans="4:7" s="4" customFormat="1" x14ac:dyDescent="0.25">
      <c r="D50" s="1"/>
      <c r="F50" s="1"/>
      <c r="G50" s="13"/>
    </row>
    <row r="52" spans="4:7" s="1" customFormat="1" x14ac:dyDescent="0.25">
      <c r="G52" s="13"/>
    </row>
  </sheetData>
  <pageMargins left="0.7" right="0.7" top="0.75" bottom="0.75" header="0.3" footer="0.3"/>
  <pageSetup paperSize="9" scale="78" orientation="landscape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44"/>
  <sheetViews>
    <sheetView topLeftCell="A20" workbookViewId="0">
      <selection activeCell="G33" sqref="G33:L48"/>
    </sheetView>
  </sheetViews>
  <sheetFormatPr defaultRowHeight="15" x14ac:dyDescent="0.25"/>
  <cols>
    <col min="1" max="1" width="32.140625" style="1" customWidth="1"/>
    <col min="2" max="2" width="15.42578125" style="1" customWidth="1"/>
    <col min="3" max="3" width="14.42578125" customWidth="1"/>
    <col min="4" max="4" width="13.85546875" style="1" customWidth="1"/>
    <col min="5" max="5" width="15.42578125" style="1" customWidth="1"/>
    <col min="6" max="6" width="11.85546875" style="1" customWidth="1"/>
    <col min="9" max="9" width="13.140625" customWidth="1"/>
  </cols>
  <sheetData>
    <row r="1" spans="1:6" x14ac:dyDescent="0.25">
      <c r="A1" s="1" t="s">
        <v>0</v>
      </c>
    </row>
    <row r="3" spans="1:6" x14ac:dyDescent="0.25">
      <c r="A3" s="1" t="s">
        <v>147</v>
      </c>
      <c r="C3" t="s">
        <v>149</v>
      </c>
      <c r="D3" s="2" t="s">
        <v>1</v>
      </c>
      <c r="E3" s="2" t="s">
        <v>148</v>
      </c>
    </row>
    <row r="5" spans="1:6" x14ac:dyDescent="0.25">
      <c r="A5" s="1" t="s">
        <v>2</v>
      </c>
      <c r="B5" s="1" t="s">
        <v>3</v>
      </c>
      <c r="C5" s="62">
        <f>SUM(135044+3050+43500+770)</f>
        <v>182364</v>
      </c>
      <c r="D5" s="1">
        <f>93600+4000+96000</f>
        <v>193600</v>
      </c>
      <c r="E5" s="1">
        <f>73617+2650+83975</f>
        <v>160242</v>
      </c>
      <c r="F5" s="9"/>
    </row>
    <row r="6" spans="1:6" s="1" customFormat="1" x14ac:dyDescent="0.25">
      <c r="B6" s="1" t="s">
        <v>12</v>
      </c>
      <c r="C6" s="62">
        <v>10000</v>
      </c>
      <c r="F6" s="9"/>
    </row>
    <row r="7" spans="1:6" x14ac:dyDescent="0.25">
      <c r="B7" s="1" t="s">
        <v>4</v>
      </c>
      <c r="C7" s="62">
        <v>21560</v>
      </c>
      <c r="D7" s="1">
        <v>70400</v>
      </c>
      <c r="E7" s="1">
        <v>43440</v>
      </c>
      <c r="F7" s="9"/>
    </row>
    <row r="8" spans="1:6" x14ac:dyDescent="0.25">
      <c r="B8" s="1" t="s">
        <v>5</v>
      </c>
      <c r="C8" s="62">
        <f>SUM(13000)</f>
        <v>13000</v>
      </c>
      <c r="D8" s="1">
        <f>12500+15000+8000+4000+3000</f>
        <v>42500</v>
      </c>
      <c r="E8" s="1">
        <f>3323+14980</f>
        <v>18303</v>
      </c>
      <c r="F8" s="9"/>
    </row>
    <row r="9" spans="1:6" x14ac:dyDescent="0.25">
      <c r="C9" s="62"/>
      <c r="F9" s="9"/>
    </row>
    <row r="10" spans="1:6" x14ac:dyDescent="0.25">
      <c r="A10" s="1" t="s">
        <v>6</v>
      </c>
      <c r="B10" s="1" t="s">
        <v>3</v>
      </c>
      <c r="C10" s="62">
        <f>SUM(5700+4950+8050+300+3000+950)</f>
        <v>22950</v>
      </c>
      <c r="D10" s="1">
        <f>1700+4000+6300+10000+4200+1500+2000</f>
        <v>29700</v>
      </c>
      <c r="E10" s="1">
        <f>7350+400+590+1300</f>
        <v>9640</v>
      </c>
      <c r="F10" s="9"/>
    </row>
    <row r="11" spans="1:6" x14ac:dyDescent="0.25">
      <c r="B11" s="1" t="s">
        <v>5</v>
      </c>
      <c r="C11" s="62">
        <f>1500+94+3302+1600+4679</f>
        <v>11175</v>
      </c>
      <c r="D11" s="1">
        <f>9000+500+1700+3000+6000+4000+5000+500</f>
        <v>29700</v>
      </c>
      <c r="E11" s="1">
        <f>512+6776</f>
        <v>7288</v>
      </c>
      <c r="F11" s="9"/>
    </row>
    <row r="12" spans="1:6" x14ac:dyDescent="0.25">
      <c r="B12" s="1" t="s">
        <v>7</v>
      </c>
      <c r="C12" s="1">
        <v>1839</v>
      </c>
      <c r="D12" s="1">
        <v>2500</v>
      </c>
      <c r="F12" s="9"/>
    </row>
    <row r="13" spans="1:6" x14ac:dyDescent="0.25">
      <c r="C13" s="62"/>
      <c r="F13" s="9"/>
    </row>
    <row r="14" spans="1:6" x14ac:dyDescent="0.25">
      <c r="A14" s="1" t="s">
        <v>8</v>
      </c>
      <c r="B14" s="1" t="s">
        <v>3</v>
      </c>
      <c r="C14" s="62">
        <v>1200</v>
      </c>
      <c r="F14" s="9"/>
    </row>
    <row r="15" spans="1:6" x14ac:dyDescent="0.25">
      <c r="B15" s="1" t="s">
        <v>5</v>
      </c>
      <c r="C15" s="62">
        <f>14100+3553+19859+1706+3333+12987+3195+7005</f>
        <v>65738</v>
      </c>
      <c r="D15" s="1">
        <f>14100+8500+40000+3500+50000+16000+5000+6800+11300</f>
        <v>155200</v>
      </c>
      <c r="E15" s="1">
        <f>13800+3538+16042+19960+1574+11477+140+6576</f>
        <v>73107</v>
      </c>
    </row>
    <row r="16" spans="1:6" x14ac:dyDescent="0.25">
      <c r="C16" s="62"/>
      <c r="F16" s="9"/>
    </row>
    <row r="17" spans="1:6" x14ac:dyDescent="0.25">
      <c r="A17" s="1" t="s">
        <v>9</v>
      </c>
      <c r="B17" s="1" t="s">
        <v>3</v>
      </c>
      <c r="C17" s="62">
        <v>29045</v>
      </c>
      <c r="D17" s="1">
        <v>49000</v>
      </c>
      <c r="E17" s="1">
        <v>38915</v>
      </c>
      <c r="F17" s="9"/>
    </row>
    <row r="18" spans="1:6" x14ac:dyDescent="0.25">
      <c r="B18" s="1" t="s">
        <v>5</v>
      </c>
      <c r="C18" s="62">
        <v>1265</v>
      </c>
      <c r="D18" s="1">
        <f>1500</f>
        <v>1500</v>
      </c>
      <c r="E18" s="1">
        <v>870</v>
      </c>
      <c r="F18" s="9"/>
    </row>
    <row r="19" spans="1:6" x14ac:dyDescent="0.25">
      <c r="B19" s="1" t="s">
        <v>10</v>
      </c>
      <c r="C19" s="62">
        <v>4329</v>
      </c>
      <c r="D19" s="1">
        <v>7500</v>
      </c>
      <c r="E19" s="1">
        <v>4006</v>
      </c>
      <c r="F19" s="9"/>
    </row>
    <row r="20" spans="1:6" x14ac:dyDescent="0.25">
      <c r="C20" s="62"/>
      <c r="F20" s="9"/>
    </row>
    <row r="21" spans="1:6" ht="30" x14ac:dyDescent="0.25">
      <c r="A21" s="4" t="s">
        <v>16</v>
      </c>
      <c r="B21" s="1" t="s">
        <v>5</v>
      </c>
      <c r="C21" s="62">
        <f>7829+4004+284+587+1828+4498+2043+405</f>
        <v>21478</v>
      </c>
      <c r="D21" s="1">
        <f>1500+3000+4000+500+3000+2000+8000+4000+5000</f>
        <v>31000</v>
      </c>
      <c r="E21" s="1">
        <f>1063+1306+96+387+559-100</f>
        <v>3311</v>
      </c>
      <c r="F21" s="9"/>
    </row>
    <row r="22" spans="1:6" x14ac:dyDescent="0.25">
      <c r="C22" s="62"/>
      <c r="F22" s="9"/>
    </row>
    <row r="23" spans="1:6" x14ac:dyDescent="0.25">
      <c r="A23" s="1" t="s">
        <v>11</v>
      </c>
      <c r="B23" s="1" t="s">
        <v>3</v>
      </c>
      <c r="C23" s="62">
        <f>5985+1960</f>
        <v>7945</v>
      </c>
      <c r="D23" s="1">
        <v>6000</v>
      </c>
      <c r="E23" s="1">
        <v>2060</v>
      </c>
      <c r="F23" s="9"/>
    </row>
    <row r="24" spans="1:6" x14ac:dyDescent="0.25">
      <c r="B24" s="1" t="s">
        <v>5</v>
      </c>
      <c r="C24" s="62">
        <v>10750</v>
      </c>
      <c r="D24" s="1">
        <v>6500</v>
      </c>
      <c r="E24" s="1">
        <f>415+1434</f>
        <v>1849</v>
      </c>
      <c r="F24" s="9"/>
    </row>
    <row r="25" spans="1:6" x14ac:dyDescent="0.25">
      <c r="C25" s="62"/>
      <c r="F25" s="9"/>
    </row>
    <row r="26" spans="1:6" x14ac:dyDescent="0.25">
      <c r="A26" s="1" t="s">
        <v>12</v>
      </c>
      <c r="B26" s="1" t="s">
        <v>3</v>
      </c>
      <c r="C26" s="62"/>
      <c r="D26" s="1">
        <v>10400</v>
      </c>
      <c r="F26" s="9"/>
    </row>
    <row r="27" spans="1:6" x14ac:dyDescent="0.25">
      <c r="C27" s="62"/>
      <c r="F27" s="9"/>
    </row>
    <row r="28" spans="1:6" x14ac:dyDescent="0.25">
      <c r="A28" s="1" t="s">
        <v>13</v>
      </c>
      <c r="B28" s="1" t="s">
        <v>3</v>
      </c>
      <c r="C28" s="62"/>
      <c r="F28" s="9"/>
    </row>
    <row r="29" spans="1:6" x14ac:dyDescent="0.25">
      <c r="B29" s="1" t="s">
        <v>5</v>
      </c>
      <c r="C29" s="62">
        <f>1264+398+263+2928+1621+2438</f>
        <v>8912</v>
      </c>
      <c r="D29" s="1">
        <f>1000+1000+2000+200+1600+700+1500+4000</f>
        <v>12000</v>
      </c>
      <c r="E29" s="1">
        <f>56+5486+189+1884+46+1163+1554</f>
        <v>10378</v>
      </c>
      <c r="F29" s="9"/>
    </row>
    <row r="30" spans="1:6" x14ac:dyDescent="0.25">
      <c r="C30" s="62"/>
      <c r="E30" s="60"/>
    </row>
    <row r="31" spans="1:6" x14ac:dyDescent="0.25">
      <c r="A31" s="1" t="s">
        <v>14</v>
      </c>
      <c r="B31" s="1" t="s">
        <v>3</v>
      </c>
      <c r="C31" s="62">
        <f>C5+C6+C10+C14+C17+C23+C26+C28</f>
        <v>253504</v>
      </c>
      <c r="D31" s="1">
        <f>D5+D10+D14+D17+D23+D26+D28</f>
        <v>288700</v>
      </c>
      <c r="E31" s="1">
        <f>E5+E10+E14+E17+E23+E26+E28</f>
        <v>210857</v>
      </c>
    </row>
    <row r="32" spans="1:6" x14ac:dyDescent="0.25">
      <c r="B32" s="1" t="s">
        <v>5</v>
      </c>
      <c r="C32" s="62">
        <f>C7+C8+C11+C12+C15+C18+C19+C21+C24+C29</f>
        <v>160046</v>
      </c>
      <c r="D32" s="1">
        <f>D7+D8+D11+D12+D15+D18+D19+D21+D24+D29</f>
        <v>358800</v>
      </c>
      <c r="E32" s="1">
        <f>E7+E8+E11+E12+E15+E18+E19+E21+E24+E29</f>
        <v>162552</v>
      </c>
    </row>
    <row r="33" spans="1:10" x14ac:dyDescent="0.25">
      <c r="C33" s="63">
        <f>C31-C32</f>
        <v>93458</v>
      </c>
      <c r="D33" s="1">
        <f>D31-D32</f>
        <v>-70100</v>
      </c>
      <c r="E33" s="6">
        <f>E31-E32</f>
        <v>48305</v>
      </c>
      <c r="F33" s="7"/>
      <c r="G33" s="1" t="s">
        <v>214</v>
      </c>
      <c r="H33" s="1"/>
      <c r="I33" s="1"/>
      <c r="J33" s="1"/>
    </row>
    <row r="34" spans="1:10" x14ac:dyDescent="0.25">
      <c r="G34" s="1"/>
      <c r="H34" s="1">
        <v>23</v>
      </c>
      <c r="I34" s="1" t="s">
        <v>2</v>
      </c>
      <c r="J34" s="1" t="s">
        <v>182</v>
      </c>
    </row>
    <row r="35" spans="1:10" x14ac:dyDescent="0.25">
      <c r="G35" s="1"/>
      <c r="H35" s="1">
        <v>22</v>
      </c>
      <c r="I35" s="1" t="s">
        <v>2</v>
      </c>
      <c r="J35" s="1" t="s">
        <v>192</v>
      </c>
    </row>
    <row r="36" spans="1:10" x14ac:dyDescent="0.25">
      <c r="A36" s="1" t="s">
        <v>146</v>
      </c>
      <c r="G36" s="1"/>
      <c r="H36" s="1">
        <v>14</v>
      </c>
      <c r="I36" s="1" t="s">
        <v>2</v>
      </c>
      <c r="J36" s="1" t="s">
        <v>193</v>
      </c>
    </row>
    <row r="37" spans="1:10" x14ac:dyDescent="0.25">
      <c r="F37" s="5"/>
      <c r="G37" s="8"/>
      <c r="H37" s="1">
        <v>7.5</v>
      </c>
      <c r="I37" s="1" t="s">
        <v>6</v>
      </c>
      <c r="J37" s="1" t="s">
        <v>202</v>
      </c>
    </row>
    <row r="38" spans="1:10" x14ac:dyDescent="0.25">
      <c r="A38" s="1" t="s">
        <v>15</v>
      </c>
      <c r="B38" s="54">
        <v>672981</v>
      </c>
      <c r="E38" s="9"/>
      <c r="G38" s="1"/>
      <c r="H38" s="1">
        <v>8.5</v>
      </c>
      <c r="I38" s="1" t="s">
        <v>203</v>
      </c>
      <c r="J38" s="1" t="s">
        <v>206</v>
      </c>
    </row>
    <row r="39" spans="1:10" x14ac:dyDescent="0.25">
      <c r="G39" s="1"/>
      <c r="H39" s="1"/>
      <c r="I39" s="1"/>
      <c r="J39" s="1" t="s">
        <v>215</v>
      </c>
    </row>
    <row r="40" spans="1:10" x14ac:dyDescent="0.25">
      <c r="A40" s="9" t="s">
        <v>213</v>
      </c>
      <c r="B40" s="11"/>
      <c r="E40" s="11"/>
      <c r="G40" s="1"/>
      <c r="H40" s="1">
        <v>-10</v>
      </c>
      <c r="I40" s="1" t="s">
        <v>211</v>
      </c>
      <c r="J40" s="1" t="s">
        <v>212</v>
      </c>
    </row>
    <row r="41" spans="1:10" x14ac:dyDescent="0.25">
      <c r="A41" s="12"/>
      <c r="G41" s="1"/>
      <c r="H41" s="1">
        <v>-18</v>
      </c>
      <c r="I41" s="1" t="s">
        <v>204</v>
      </c>
      <c r="J41" s="1" t="s">
        <v>216</v>
      </c>
    </row>
    <row r="42" spans="1:10" x14ac:dyDescent="0.25">
      <c r="G42" s="1"/>
      <c r="H42" s="4">
        <v>-3</v>
      </c>
      <c r="I42" s="4" t="s">
        <v>11</v>
      </c>
      <c r="J42" s="64" t="s">
        <v>210</v>
      </c>
    </row>
    <row r="43" spans="1:10" x14ac:dyDescent="0.25">
      <c r="G43" s="13"/>
      <c r="H43" s="1">
        <v>-2</v>
      </c>
      <c r="I43" s="1" t="s">
        <v>13</v>
      </c>
      <c r="J43" s="1" t="s">
        <v>187</v>
      </c>
    </row>
    <row r="44" spans="1:10" x14ac:dyDescent="0.25">
      <c r="G44" s="13"/>
      <c r="H44" s="1">
        <f>SUM(H34:H43)</f>
        <v>42</v>
      </c>
      <c r="I44" s="1"/>
      <c r="J44" s="1"/>
    </row>
  </sheetData>
  <pageMargins left="0.7" right="0.7" top="0.75" bottom="0.75" header="0.3" footer="0.3"/>
  <pageSetup paperSize="9" scale="6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220131</vt:lpstr>
      <vt:lpstr>220228</vt:lpstr>
      <vt:lpstr>220331</vt:lpstr>
      <vt:lpstr>220430</vt:lpstr>
      <vt:lpstr>220531</vt:lpstr>
      <vt:lpstr>220630</vt:lpstr>
      <vt:lpstr>220731</vt:lpstr>
      <vt:lpstr>220831</vt:lpstr>
      <vt:lpstr>220930</vt:lpstr>
      <vt:lpstr>221031</vt:lpstr>
      <vt:lpstr>221130</vt:lpstr>
      <vt:lpstr>221231</vt:lpstr>
      <vt:lpstr>Blad3</vt:lpstr>
      <vt:lpstr>Blad5</vt:lpstr>
      <vt:lpstr>Fördelning budget konto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Anette</dc:creator>
  <cp:lastModifiedBy>Lunden, Jonas</cp:lastModifiedBy>
  <cp:lastPrinted>2023-01-17T14:29:13Z</cp:lastPrinted>
  <dcterms:created xsi:type="dcterms:W3CDTF">2019-03-04T13:11:27Z</dcterms:created>
  <dcterms:modified xsi:type="dcterms:W3CDTF">2023-01-26T13:32:29Z</dcterms:modified>
</cp:coreProperties>
</file>