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1835" activeTab="8"/>
  </bookViews>
  <sheets>
    <sheet name="170228" sheetId="1" r:id="rId1"/>
    <sheet name="170331" sheetId="2" r:id="rId2"/>
    <sheet name="170430" sheetId="3" r:id="rId3"/>
    <sheet name="170531" sheetId="4" r:id="rId4"/>
    <sheet name="170831" sheetId="5" r:id="rId5"/>
    <sheet name="170930" sheetId="6" r:id="rId6"/>
    <sheet name="171031" sheetId="7" r:id="rId7"/>
    <sheet name="171130" sheetId="9" r:id="rId8"/>
    <sheet name="171231" sheetId="10" r:id="rId9"/>
    <sheet name="--" sheetId="8" r:id="rId10"/>
  </sheets>
  <calcPr calcId="145621"/>
</workbook>
</file>

<file path=xl/calcChain.xml><?xml version="1.0" encoding="utf-8"?>
<calcChain xmlns="http://schemas.openxmlformats.org/spreadsheetml/2006/main">
  <c r="F5" i="10" l="1"/>
  <c r="F12" i="10"/>
  <c r="C12" i="10"/>
  <c r="F24" i="10"/>
  <c r="C24" i="10"/>
  <c r="F16" i="10"/>
  <c r="C16" i="10"/>
  <c r="C19" i="10"/>
  <c r="F15" i="10"/>
  <c r="F14" i="10"/>
  <c r="C14" i="10"/>
  <c r="C26" i="10" s="1"/>
  <c r="F9" i="10"/>
  <c r="F8" i="10"/>
  <c r="C9" i="10"/>
  <c r="C8" i="10"/>
  <c r="F6" i="10"/>
  <c r="C5" i="10"/>
  <c r="E26" i="10"/>
  <c r="E24" i="10"/>
  <c r="F23" i="10"/>
  <c r="F21" i="10"/>
  <c r="C21" i="10"/>
  <c r="E16" i="10"/>
  <c r="E15" i="10"/>
  <c r="C15" i="10"/>
  <c r="E12" i="10"/>
  <c r="E9" i="10"/>
  <c r="E27" i="10" s="1"/>
  <c r="E6" i="10"/>
  <c r="C6" i="10"/>
  <c r="C27" i="10" s="1"/>
  <c r="C28" i="10" l="1"/>
  <c r="F27" i="10"/>
  <c r="F26" i="10"/>
  <c r="E28" i="10"/>
  <c r="F24" i="9"/>
  <c r="C24" i="9"/>
  <c r="F16" i="9"/>
  <c r="F12" i="9"/>
  <c r="C12" i="9"/>
  <c r="C19" i="9"/>
  <c r="C8" i="9"/>
  <c r="C26" i="9" s="1"/>
  <c r="C14" i="9"/>
  <c r="F9" i="9"/>
  <c r="F8" i="9"/>
  <c r="F26" i="9" s="1"/>
  <c r="C9" i="9"/>
  <c r="F6" i="9"/>
  <c r="F5" i="9"/>
  <c r="C6" i="9"/>
  <c r="C5" i="9"/>
  <c r="E26" i="9"/>
  <c r="E24" i="9"/>
  <c r="F23" i="9"/>
  <c r="F21" i="9"/>
  <c r="C21" i="9"/>
  <c r="E16" i="9"/>
  <c r="C16" i="9"/>
  <c r="F15" i="9"/>
  <c r="E15" i="9"/>
  <c r="C15" i="9"/>
  <c r="F14" i="9"/>
  <c r="E12" i="9"/>
  <c r="E9" i="9"/>
  <c r="F27" i="9"/>
  <c r="E6" i="9"/>
  <c r="E27" i="9" s="1"/>
  <c r="C27" i="9"/>
  <c r="F28" i="10" l="1"/>
  <c r="F28" i="9"/>
  <c r="C28" i="9"/>
  <c r="E28" i="9"/>
  <c r="F24" i="7"/>
  <c r="C24" i="7"/>
  <c r="F12" i="7"/>
  <c r="F15" i="7"/>
  <c r="C15" i="7"/>
  <c r="C12" i="7"/>
  <c r="C19" i="7"/>
  <c r="F16" i="7"/>
  <c r="C16" i="7"/>
  <c r="F14" i="7"/>
  <c r="C14" i="7"/>
  <c r="F9" i="7"/>
  <c r="C9" i="7"/>
  <c r="F8" i="7"/>
  <c r="C8" i="7"/>
  <c r="F6" i="7"/>
  <c r="C6" i="7"/>
  <c r="F5" i="7"/>
  <c r="C5" i="7"/>
  <c r="E26" i="7" l="1"/>
  <c r="E28" i="7" s="1"/>
  <c r="C26" i="7"/>
  <c r="E24" i="7"/>
  <c r="F23" i="7"/>
  <c r="F21" i="7"/>
  <c r="C21" i="7"/>
  <c r="E16" i="7"/>
  <c r="E27" i="7" s="1"/>
  <c r="E15" i="7"/>
  <c r="E12" i="7"/>
  <c r="E9" i="7"/>
  <c r="F27" i="7"/>
  <c r="E6" i="7"/>
  <c r="C27" i="7"/>
  <c r="F26" i="7"/>
  <c r="F28" i="7" l="1"/>
  <c r="C28" i="7"/>
  <c r="F9" i="6"/>
  <c r="F12" i="6"/>
  <c r="C12" i="6"/>
  <c r="F24" i="6"/>
  <c r="C24" i="6"/>
  <c r="F15" i="6"/>
  <c r="C15" i="6"/>
  <c r="F23" i="6"/>
  <c r="C19" i="6"/>
  <c r="F14" i="6"/>
  <c r="C14" i="6"/>
  <c r="C9" i="6"/>
  <c r="F8" i="6"/>
  <c r="C8" i="6"/>
  <c r="F6" i="6"/>
  <c r="F5" i="6"/>
  <c r="C6" i="6"/>
  <c r="C5" i="6"/>
  <c r="E26" i="6"/>
  <c r="E28" i="6" s="1"/>
  <c r="E24" i="6"/>
  <c r="F21" i="6"/>
  <c r="C21" i="6"/>
  <c r="E16" i="6"/>
  <c r="E15" i="6"/>
  <c r="E12" i="6"/>
  <c r="E9" i="6"/>
  <c r="E6" i="6"/>
  <c r="E27" i="6" s="1"/>
  <c r="F27" i="6" l="1"/>
  <c r="C27" i="6"/>
  <c r="C26" i="6"/>
  <c r="F26" i="6"/>
  <c r="F27" i="4"/>
  <c r="F28" i="4" s="1"/>
  <c r="F24" i="4"/>
  <c r="C24" i="4"/>
  <c r="C19" i="4"/>
  <c r="F14" i="4"/>
  <c r="C14" i="4"/>
  <c r="F12" i="4"/>
  <c r="C12" i="4"/>
  <c r="F9" i="4"/>
  <c r="C9" i="4"/>
  <c r="F8" i="4"/>
  <c r="C8" i="4"/>
  <c r="F6" i="4"/>
  <c r="F5" i="4"/>
  <c r="C5" i="4"/>
  <c r="C27" i="4"/>
  <c r="E26" i="4"/>
  <c r="E24" i="4"/>
  <c r="F21" i="4"/>
  <c r="C21" i="4"/>
  <c r="E16" i="4"/>
  <c r="F15" i="4"/>
  <c r="E15" i="4"/>
  <c r="C15" i="4"/>
  <c r="E12" i="4"/>
  <c r="E9" i="4"/>
  <c r="E6" i="4"/>
  <c r="E27" i="4" s="1"/>
  <c r="E28" i="4" s="1"/>
  <c r="C6" i="4"/>
  <c r="F28" i="6" l="1"/>
  <c r="C28" i="6"/>
  <c r="F26" i="4"/>
  <c r="C26" i="4"/>
  <c r="C28" i="4" s="1"/>
  <c r="G9" i="3"/>
  <c r="D9" i="3"/>
  <c r="G6" i="3"/>
  <c r="D6" i="3"/>
  <c r="F24" i="3"/>
  <c r="C24" i="3"/>
  <c r="F12" i="3"/>
  <c r="C12" i="3"/>
  <c r="C9" i="3"/>
  <c r="C19" i="3"/>
  <c r="C5" i="3"/>
  <c r="C26" i="3"/>
  <c r="F15" i="3"/>
  <c r="F14" i="3"/>
  <c r="C15" i="3"/>
  <c r="C14" i="3"/>
  <c r="F9" i="3"/>
  <c r="F8" i="3"/>
  <c r="C8" i="3"/>
  <c r="C6" i="3"/>
  <c r="F5" i="3"/>
  <c r="E27" i="3"/>
  <c r="E26" i="3"/>
  <c r="E28" i="3" s="1"/>
  <c r="E24" i="3"/>
  <c r="F21" i="3"/>
  <c r="C21" i="3"/>
  <c r="E16" i="3"/>
  <c r="E15" i="3"/>
  <c r="E12" i="3"/>
  <c r="E9" i="3"/>
  <c r="F6" i="3"/>
  <c r="E6" i="3"/>
  <c r="F27" i="3" l="1"/>
  <c r="F26" i="3"/>
  <c r="C27" i="3"/>
  <c r="C28" i="3" s="1"/>
  <c r="D27" i="2"/>
  <c r="D28" i="2"/>
  <c r="C27" i="2"/>
  <c r="C24" i="2"/>
  <c r="E15" i="2"/>
  <c r="E24" i="2"/>
  <c r="E12" i="2"/>
  <c r="C15" i="2"/>
  <c r="C12" i="2"/>
  <c r="C19" i="2"/>
  <c r="E14" i="2"/>
  <c r="E26" i="2" s="1"/>
  <c r="C14" i="2"/>
  <c r="E9" i="2"/>
  <c r="C9" i="2"/>
  <c r="C8" i="2"/>
  <c r="E5" i="2"/>
  <c r="C5" i="2"/>
  <c r="D26" i="2"/>
  <c r="D24" i="2"/>
  <c r="E21" i="2"/>
  <c r="C21" i="2"/>
  <c r="D16" i="2"/>
  <c r="D15" i="2"/>
  <c r="D12" i="2"/>
  <c r="D9" i="2"/>
  <c r="E8" i="2"/>
  <c r="E6" i="2"/>
  <c r="D6" i="2"/>
  <c r="C6" i="2"/>
  <c r="F28" i="3" l="1"/>
  <c r="C26" i="2"/>
  <c r="E27" i="2"/>
  <c r="E28" i="2" s="1"/>
  <c r="D6" i="1"/>
  <c r="D24" i="1"/>
  <c r="D9" i="1"/>
  <c r="D16" i="1"/>
  <c r="D15" i="1"/>
  <c r="D12" i="1"/>
  <c r="C28" i="2" l="1"/>
  <c r="D27" i="1"/>
  <c r="E15" i="1"/>
  <c r="E24" i="1"/>
  <c r="C9" i="1"/>
  <c r="C24" i="1"/>
  <c r="C15" i="1"/>
  <c r="E19" i="1"/>
  <c r="C19" i="1"/>
  <c r="E12" i="1"/>
  <c r="C12" i="1"/>
  <c r="E14" i="1"/>
  <c r="C18" i="1"/>
  <c r="C14" i="1"/>
  <c r="E9" i="1"/>
  <c r="E8" i="1"/>
  <c r="C8" i="1"/>
  <c r="E6" i="1"/>
  <c r="C6" i="1"/>
  <c r="E5" i="1"/>
  <c r="C5" i="1"/>
  <c r="C27" i="1" l="1"/>
  <c r="D26" i="1"/>
  <c r="D28" i="1" l="1"/>
  <c r="E21" i="1" l="1"/>
  <c r="C21" i="1"/>
  <c r="E27" i="1" l="1"/>
  <c r="C26" i="1"/>
  <c r="E26" i="1"/>
  <c r="E28" i="1" l="1"/>
  <c r="C28" i="1"/>
</calcChain>
</file>

<file path=xl/sharedStrings.xml><?xml version="1.0" encoding="utf-8"?>
<sst xmlns="http://schemas.openxmlformats.org/spreadsheetml/2006/main" count="336" uniqueCount="88">
  <si>
    <t>Svalövs Brukshundsklubb</t>
  </si>
  <si>
    <t>HUG</t>
  </si>
  <si>
    <t>Intäkter</t>
  </si>
  <si>
    <t>Kostnader</t>
  </si>
  <si>
    <t>Tävling</t>
  </si>
  <si>
    <t>Bidrag</t>
  </si>
  <si>
    <t>Övrigt</t>
  </si>
  <si>
    <t>Årsbudget</t>
  </si>
  <si>
    <t>Kök</t>
  </si>
  <si>
    <t>Total</t>
  </si>
  <si>
    <t>Fastighet inkl avskr</t>
  </si>
  <si>
    <t>Kassa, Bank Pg</t>
  </si>
  <si>
    <t>170101-170228</t>
  </si>
  <si>
    <t>jmf 160228</t>
  </si>
  <si>
    <t>Resultat 2017-02-28</t>
  </si>
  <si>
    <t>Balansräkning 2017-02-28</t>
  </si>
  <si>
    <t>Medl.möte, Uppskattn, Trivsel, Profilkläder</t>
  </si>
  <si>
    <t xml:space="preserve">Medlemmar </t>
  </si>
  <si>
    <t>Resultat 2017-03-31</t>
  </si>
  <si>
    <t>170101-1700331</t>
  </si>
  <si>
    <t>jmf 160331</t>
  </si>
  <si>
    <t>Balansräkning 2017-03-31</t>
  </si>
  <si>
    <t>Balansräkning 2017-04-30</t>
  </si>
  <si>
    <t>170101-170430</t>
  </si>
  <si>
    <t>jmf 160430</t>
  </si>
  <si>
    <t>ngt lägre intäkt på tävling</t>
  </si>
  <si>
    <t>lite högre kostnader pga renoveringen/uppfräschningen av bl.a kontoret</t>
  </si>
  <si>
    <t>valp/slyngelträffarna -3500 2017 jmf 2016</t>
  </si>
  <si>
    <t>jmf 160531</t>
  </si>
  <si>
    <t>170101-170531</t>
  </si>
  <si>
    <t>Resultat 2017-05-31</t>
  </si>
  <si>
    <t>Balansräkning 2017-05-31</t>
  </si>
  <si>
    <t>170101-170930</t>
  </si>
  <si>
    <t>jmf 160930</t>
  </si>
  <si>
    <t>Tillkommer kostnad ca 13000 Karin-kursen</t>
  </si>
  <si>
    <t>3500 köket rally 1/10</t>
  </si>
  <si>
    <t>Resultat 2017-09-30</t>
  </si>
  <si>
    <t>Resultat 2017-08-31</t>
  </si>
  <si>
    <t>170101-170831</t>
  </si>
  <si>
    <t>jmf 160831</t>
  </si>
  <si>
    <t xml:space="preserve">kvar är rallytävling, adventslydnad, inoff agility </t>
  </si>
  <si>
    <t>Balansräkning 2017-08-31</t>
  </si>
  <si>
    <t>Avvikelser mot budget per 2017-08-31</t>
  </si>
  <si>
    <t>utbildning</t>
  </si>
  <si>
    <t>budget</t>
  </si>
  <si>
    <t>2 gundmoduler</t>
  </si>
  <si>
    <t>2 fortsättning allm.lydn</t>
  </si>
  <si>
    <t>1 agility</t>
  </si>
  <si>
    <t>föreläsning instruktörer</t>
  </si>
  <si>
    <t>korrigerat resultat per 170831 med faktura fråb Radeby</t>
  </si>
  <si>
    <t>Kvar är</t>
  </si>
  <si>
    <t>Rallytävling oktober</t>
  </si>
  <si>
    <t>Adventslydnad nov/dec</t>
  </si>
  <si>
    <t>Agility inoff sept/okt</t>
  </si>
  <si>
    <t>Fastigheter</t>
  </si>
  <si>
    <t>el troligtvis för lågt budgeterat, + 3000</t>
  </si>
  <si>
    <t>vatten kommer</t>
  </si>
  <si>
    <t>renhållning kommer 1700</t>
  </si>
  <si>
    <t xml:space="preserve">gräsklippning </t>
  </si>
  <si>
    <t xml:space="preserve">underhåll budget </t>
  </si>
  <si>
    <t>avskrivning kommer</t>
  </si>
  <si>
    <t>Medlemmar</t>
  </si>
  <si>
    <t xml:space="preserve">Medl.möte, Uppskattn,Trivsel, Profilkläder </t>
  </si>
  <si>
    <t>Medl.möte, öppet hus, uppskattning</t>
  </si>
  <si>
    <t>Profilkäder</t>
  </si>
  <si>
    <t>Trivsel aktiviteter</t>
  </si>
  <si>
    <t>Öppet Hus i september kommer</t>
  </si>
  <si>
    <t>2000 mindre i intäkter jmf kostnader, samma 2016</t>
  </si>
  <si>
    <t>funktionsärsmaten vid tävlingar</t>
  </si>
  <si>
    <t>styrelseutbildn, kostade ej ngt</t>
  </si>
  <si>
    <t>datakommunikationen?</t>
  </si>
  <si>
    <t>hemsidan, info o pr</t>
  </si>
  <si>
    <t>representation (kommer vid jul)</t>
  </si>
  <si>
    <t>Balansräkning 2017-09-30</t>
  </si>
  <si>
    <t>Gräsklippning 2600, El nov+dec, Sophämtning 1700, Avskrivning 10000</t>
  </si>
  <si>
    <t>Kvar är Rallylydnanden 1/10, Advenstslydnaden</t>
  </si>
  <si>
    <t>Resultat 2017-10-31</t>
  </si>
  <si>
    <t>170101-171031</t>
  </si>
  <si>
    <t>jmf 161031</t>
  </si>
  <si>
    <t>Balansräkning 2017-10-31</t>
  </si>
  <si>
    <t>Resultat 2017-11-30</t>
  </si>
  <si>
    <t>170101-171130</t>
  </si>
  <si>
    <t>jmf 161130</t>
  </si>
  <si>
    <t>Balansräkning 2017-11-30</t>
  </si>
  <si>
    <t>Resultat 2017-12-31</t>
  </si>
  <si>
    <t>170101-171231</t>
  </si>
  <si>
    <t>jmf 161231</t>
  </si>
  <si>
    <t>Balansräkning 2017-12-31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</si>
</sst>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kr-41D]_-;\-* #,##0\ [$kr-41D]_-;_-* &quot;-&quot;??\ [$kr-41D]_-;_-@_-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64" fontId="3" fillId="0" borderId="0" xfId="0" applyNumberFormat="1" applyFont="1" applyFill="1"/>
    <xf numFmtId="164" fontId="2" fillId="0" borderId="0" xfId="0" applyNumberFormat="1" applyFont="1" applyFill="1"/>
    <xf numFmtId="1" fontId="0" fillId="0" borderId="0" xfId="0" applyNumberFormat="1"/>
    <xf numFmtId="0" fontId="0" fillId="0" borderId="0" xfId="0" applyAlignment="1">
      <alignment wrapText="1"/>
    </xf>
    <xf numFmtId="0" fontId="0" fillId="2" borderId="0" xfId="0" applyFill="1"/>
    <xf numFmtId="3" fontId="0" fillId="0" borderId="0" xfId="0" applyNumberForma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sqref="A1:E60"/>
    </sheetView>
  </sheetViews>
  <sheetFormatPr defaultRowHeight="15" x14ac:dyDescent="0.25"/>
  <cols>
    <col min="1" max="1" width="31.5703125" customWidth="1"/>
    <col min="2" max="2" width="11.28515625" customWidth="1"/>
    <col min="3" max="3" width="13.5703125" customWidth="1"/>
    <col min="4" max="4" width="13.140625" customWidth="1"/>
    <col min="5" max="5" width="15.28515625" customWidth="1"/>
    <col min="6" max="6" width="5.28515625" customWidth="1"/>
    <col min="7" max="7" width="75" style="1" customWidth="1"/>
    <col min="11" max="11" width="47.7109375" customWidth="1"/>
    <col min="12" max="12" width="15" customWidth="1"/>
  </cols>
  <sheetData>
    <row r="1" spans="1:12" ht="15" customHeight="1" x14ac:dyDescent="0.25">
      <c r="A1" t="s">
        <v>0</v>
      </c>
    </row>
    <row r="2" spans="1:12" ht="15" customHeight="1" x14ac:dyDescent="0.25"/>
    <row r="3" spans="1:12" ht="15" customHeight="1" x14ac:dyDescent="0.25">
      <c r="A3" t="s">
        <v>14</v>
      </c>
      <c r="C3" s="1" t="s">
        <v>12</v>
      </c>
      <c r="D3" s="1" t="s">
        <v>7</v>
      </c>
      <c r="E3" s="1" t="s">
        <v>13</v>
      </c>
      <c r="F3" s="1"/>
      <c r="G3" s="2"/>
    </row>
    <row r="4" spans="1:12" ht="15" customHeight="1" x14ac:dyDescent="0.25"/>
    <row r="5" spans="1:12" ht="15" customHeight="1" x14ac:dyDescent="0.25">
      <c r="A5" t="s">
        <v>1</v>
      </c>
      <c r="B5" t="s">
        <v>2</v>
      </c>
      <c r="C5" s="8">
        <f>16790+450+550+700+4160</f>
        <v>22650</v>
      </c>
      <c r="D5">
        <v>92000</v>
      </c>
      <c r="E5">
        <f>13251+850+450</f>
        <v>14551</v>
      </c>
      <c r="G5" s="2"/>
    </row>
    <row r="6" spans="1:12" ht="15" customHeight="1" x14ac:dyDescent="0.25">
      <c r="B6" t="s">
        <v>3</v>
      </c>
      <c r="C6">
        <f>SUM(2200)</f>
        <v>2200</v>
      </c>
      <c r="D6">
        <f>12000+14500</f>
        <v>26500</v>
      </c>
      <c r="E6">
        <f>SUM(5034+2500)</f>
        <v>7534</v>
      </c>
    </row>
    <row r="7" spans="1:12" ht="15" customHeight="1" x14ac:dyDescent="0.25"/>
    <row r="8" spans="1:12" ht="15" customHeight="1" x14ac:dyDescent="0.25">
      <c r="A8" t="s">
        <v>4</v>
      </c>
      <c r="B8" t="s">
        <v>2</v>
      </c>
      <c r="C8">
        <f>17740+550</f>
        <v>18290</v>
      </c>
      <c r="D8">
        <v>82700</v>
      </c>
      <c r="E8">
        <f>SUM(23000+500)</f>
        <v>23500</v>
      </c>
      <c r="G8" s="2"/>
      <c r="I8" s="3"/>
    </row>
    <row r="9" spans="1:12" ht="15" customHeight="1" x14ac:dyDescent="0.25">
      <c r="B9" t="s">
        <v>3</v>
      </c>
      <c r="C9">
        <f>4142+4097-314</f>
        <v>7925</v>
      </c>
      <c r="D9">
        <f>63850+4000</f>
        <v>67850</v>
      </c>
      <c r="E9">
        <f>1422+1050+7024</f>
        <v>9496</v>
      </c>
      <c r="G9" s="2"/>
    </row>
    <row r="10" spans="1:12" ht="15" customHeight="1" x14ac:dyDescent="0.25"/>
    <row r="11" spans="1:12" ht="15" customHeight="1" x14ac:dyDescent="0.25">
      <c r="A11" t="s">
        <v>10</v>
      </c>
      <c r="B11" t="s">
        <v>2</v>
      </c>
      <c r="D11">
        <v>2000</v>
      </c>
      <c r="K11" s="4"/>
      <c r="L11" s="7"/>
    </row>
    <row r="12" spans="1:12" ht="15" customHeight="1" x14ac:dyDescent="0.25">
      <c r="B12" t="s">
        <v>3</v>
      </c>
      <c r="C12">
        <f>13680+2500+4240+158+437</f>
        <v>21015</v>
      </c>
      <c r="D12">
        <f>7000+8000+16000+4500+3500+16000+11300+7500+6200</f>
        <v>80000</v>
      </c>
      <c r="E12">
        <f>10570+3001+2473</f>
        <v>16044</v>
      </c>
      <c r="G12" s="2"/>
      <c r="K12" s="4"/>
      <c r="L12" s="6"/>
    </row>
    <row r="13" spans="1:12" ht="15" customHeight="1" x14ac:dyDescent="0.25">
      <c r="K13" s="4"/>
      <c r="L13" s="6"/>
    </row>
    <row r="14" spans="1:12" ht="15" customHeight="1" x14ac:dyDescent="0.25">
      <c r="A14" t="s">
        <v>17</v>
      </c>
      <c r="B14" t="s">
        <v>2</v>
      </c>
      <c r="C14">
        <f>4385</f>
        <v>4385</v>
      </c>
      <c r="D14">
        <v>49000</v>
      </c>
      <c r="E14">
        <f>7770+2910</f>
        <v>10680</v>
      </c>
      <c r="K14" s="4"/>
      <c r="L14" s="6"/>
    </row>
    <row r="15" spans="1:12" ht="15" customHeight="1" x14ac:dyDescent="0.25">
      <c r="B15" t="s">
        <v>3</v>
      </c>
      <c r="C15">
        <f>7703+3030</f>
        <v>10733</v>
      </c>
      <c r="D15">
        <f>15000</f>
        <v>15000</v>
      </c>
      <c r="E15">
        <f>483</f>
        <v>483</v>
      </c>
      <c r="G15" s="2"/>
      <c r="K15" s="4"/>
      <c r="L15" s="6"/>
    </row>
    <row r="16" spans="1:12" ht="29.25" customHeight="1" x14ac:dyDescent="0.25">
      <c r="A16" s="9" t="s">
        <v>16</v>
      </c>
      <c r="B16" t="s">
        <v>3</v>
      </c>
      <c r="D16">
        <f>10000+10000+5000</f>
        <v>25000</v>
      </c>
      <c r="G16" s="2"/>
      <c r="K16" s="4"/>
      <c r="L16" s="6"/>
    </row>
    <row r="17" spans="1:11" ht="15" customHeight="1" x14ac:dyDescent="0.25">
      <c r="K17" s="4"/>
    </row>
    <row r="18" spans="1:11" ht="15" customHeight="1" x14ac:dyDescent="0.25">
      <c r="A18" t="s">
        <v>8</v>
      </c>
      <c r="B18" t="s">
        <v>2</v>
      </c>
      <c r="C18">
        <f>2040</f>
        <v>2040</v>
      </c>
      <c r="D18">
        <v>20000</v>
      </c>
      <c r="G18" s="2"/>
      <c r="K18" s="4"/>
    </row>
    <row r="19" spans="1:11" ht="15" customHeight="1" x14ac:dyDescent="0.25">
      <c r="B19" t="s">
        <v>3</v>
      </c>
      <c r="C19">
        <f>474</f>
        <v>474</v>
      </c>
      <c r="D19">
        <v>20000</v>
      </c>
      <c r="E19">
        <f>802</f>
        <v>802</v>
      </c>
      <c r="K19" s="4"/>
    </row>
    <row r="20" spans="1:11" ht="15" customHeight="1" x14ac:dyDescent="0.25">
      <c r="K20" s="4"/>
    </row>
    <row r="21" spans="1:11" ht="15" customHeight="1" x14ac:dyDescent="0.25">
      <c r="A21" t="s">
        <v>5</v>
      </c>
      <c r="B21" t="s">
        <v>2</v>
      </c>
      <c r="C21">
        <f>10400</f>
        <v>10400</v>
      </c>
      <c r="D21">
        <v>10400</v>
      </c>
      <c r="E21">
        <f>10400</f>
        <v>10400</v>
      </c>
      <c r="K21" s="5"/>
    </row>
    <row r="22" spans="1:11" ht="15" customHeight="1" x14ac:dyDescent="0.25"/>
    <row r="23" spans="1:11" ht="15" customHeight="1" x14ac:dyDescent="0.25">
      <c r="A23" t="s">
        <v>6</v>
      </c>
      <c r="B23" t="s">
        <v>2</v>
      </c>
    </row>
    <row r="24" spans="1:11" ht="15" customHeight="1" x14ac:dyDescent="0.25">
      <c r="B24" t="s">
        <v>3</v>
      </c>
      <c r="C24">
        <f>469+105+930+756+814</f>
        <v>3074</v>
      </c>
      <c r="D24">
        <f>1000+4500+2500+3500+1300+3000+5000</f>
        <v>20800</v>
      </c>
      <c r="E24">
        <f>1549+681+600</f>
        <v>2830</v>
      </c>
    </row>
    <row r="25" spans="1:11" ht="15" customHeight="1" x14ac:dyDescent="0.25"/>
    <row r="26" spans="1:11" ht="15" customHeight="1" x14ac:dyDescent="0.25">
      <c r="A26" t="s">
        <v>9</v>
      </c>
      <c r="B26" t="s">
        <v>2</v>
      </c>
      <c r="C26">
        <f>C5+C8+C14+C18+C21+C23+C11</f>
        <v>57765</v>
      </c>
      <c r="D26">
        <f>D5+D8+D11+D14+D18+D21+D23</f>
        <v>256100</v>
      </c>
      <c r="E26">
        <f>E5+E8+E11+E14+E18+E21+E23</f>
        <v>59131</v>
      </c>
    </row>
    <row r="27" spans="1:11" ht="15" customHeight="1" x14ac:dyDescent="0.25">
      <c r="B27" t="s">
        <v>3</v>
      </c>
      <c r="C27">
        <f>C6+C9+C19+C24+C12+C15</f>
        <v>45421</v>
      </c>
      <c r="D27">
        <f>D6+D9+D12+D19+D24+D15+D16</f>
        <v>255150</v>
      </c>
      <c r="E27">
        <f>E6+E9+E12+E19+E24+E15</f>
        <v>37189</v>
      </c>
    </row>
    <row r="28" spans="1:11" ht="15" customHeight="1" x14ac:dyDescent="0.25">
      <c r="C28">
        <f>C26-C27</f>
        <v>12344</v>
      </c>
      <c r="D28">
        <f>D26-D27</f>
        <v>950</v>
      </c>
      <c r="E28">
        <f>E26-E27</f>
        <v>21942</v>
      </c>
    </row>
    <row r="29" spans="1:11" ht="15" customHeight="1" x14ac:dyDescent="0.25"/>
    <row r="30" spans="1:11" ht="15" customHeight="1" x14ac:dyDescent="0.25"/>
    <row r="31" spans="1:11" ht="15" customHeight="1" x14ac:dyDescent="0.25">
      <c r="A31" t="s">
        <v>15</v>
      </c>
    </row>
    <row r="32" spans="1:11" ht="15" customHeight="1" x14ac:dyDescent="0.25"/>
    <row r="33" spans="1:3" ht="15" customHeight="1" x14ac:dyDescent="0.25">
      <c r="A33" t="s">
        <v>11</v>
      </c>
      <c r="C33">
        <v>537077</v>
      </c>
    </row>
    <row r="34" spans="1:3" ht="15" customHeight="1" x14ac:dyDescent="0.25"/>
    <row r="35" spans="1:3" ht="15" customHeight="1" x14ac:dyDescent="0.25"/>
    <row r="36" spans="1:3" ht="15" customHeight="1" x14ac:dyDescent="0.25"/>
    <row r="37" spans="1:3" ht="15" customHeight="1" x14ac:dyDescent="0.25"/>
    <row r="38" spans="1:3" ht="15" customHeight="1" x14ac:dyDescent="0.25"/>
    <row r="39" spans="1:3" ht="15" customHeight="1" x14ac:dyDescent="0.25"/>
    <row r="40" spans="1:3" ht="15" customHeight="1" x14ac:dyDescent="0.25"/>
    <row r="41" spans="1:3" ht="15" customHeight="1" x14ac:dyDescent="0.25"/>
    <row r="42" spans="1:3" ht="15" customHeight="1" x14ac:dyDescent="0.25"/>
    <row r="43" spans="1:3" ht="15" customHeight="1" x14ac:dyDescent="0.25"/>
    <row r="44" spans="1:3" ht="15" customHeight="1" x14ac:dyDescent="0.25"/>
    <row r="45" spans="1:3" ht="15" customHeight="1" x14ac:dyDescent="0.25"/>
    <row r="46" spans="1:3" ht="15" customHeight="1" x14ac:dyDescent="0.25"/>
    <row r="47" spans="1:3" ht="15" customHeight="1" x14ac:dyDescent="0.25"/>
    <row r="48" spans="1:3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5" sqref="F5:G5"/>
    </sheetView>
  </sheetViews>
  <sheetFormatPr defaultRowHeight="15" x14ac:dyDescent="0.25"/>
  <cols>
    <col min="2" max="2" width="30.42578125" customWidth="1"/>
    <col min="5" max="5" width="36.7109375" customWidth="1"/>
  </cols>
  <sheetData>
    <row r="1" spans="1:7" x14ac:dyDescent="0.25">
      <c r="A1" t="s">
        <v>42</v>
      </c>
    </row>
    <row r="3" spans="1:7" x14ac:dyDescent="0.25">
      <c r="B3" t="s">
        <v>2</v>
      </c>
      <c r="E3" t="s">
        <v>3</v>
      </c>
    </row>
    <row r="5" spans="1:7" x14ac:dyDescent="0.25">
      <c r="A5" t="s">
        <v>1</v>
      </c>
      <c r="E5" t="s">
        <v>43</v>
      </c>
      <c r="F5" t="s">
        <v>44</v>
      </c>
      <c r="G5">
        <v>170831</v>
      </c>
    </row>
    <row r="6" spans="1:7" x14ac:dyDescent="0.25">
      <c r="E6" t="s">
        <v>45</v>
      </c>
      <c r="F6">
        <v>5500</v>
      </c>
    </row>
    <row r="7" spans="1:7" x14ac:dyDescent="0.25">
      <c r="E7" t="s">
        <v>46</v>
      </c>
      <c r="F7">
        <v>6000</v>
      </c>
    </row>
    <row r="8" spans="1:7" x14ac:dyDescent="0.25">
      <c r="E8" t="s">
        <v>47</v>
      </c>
      <c r="F8">
        <v>3000</v>
      </c>
    </row>
    <row r="9" spans="1:7" x14ac:dyDescent="0.25">
      <c r="E9" t="s">
        <v>48</v>
      </c>
      <c r="F9">
        <v>10000</v>
      </c>
    </row>
    <row r="10" spans="1:7" x14ac:dyDescent="0.25">
      <c r="F10">
        <v>24500</v>
      </c>
    </row>
    <row r="11" spans="1:7" ht="30" x14ac:dyDescent="0.25">
      <c r="B11" s="9" t="s">
        <v>49</v>
      </c>
      <c r="C11">
        <v>77640</v>
      </c>
    </row>
    <row r="13" spans="1:7" x14ac:dyDescent="0.25">
      <c r="A13" t="s">
        <v>4</v>
      </c>
      <c r="B13" t="s">
        <v>50</v>
      </c>
    </row>
    <row r="14" spans="1:7" x14ac:dyDescent="0.25">
      <c r="B14" t="s">
        <v>51</v>
      </c>
    </row>
    <row r="15" spans="1:7" x14ac:dyDescent="0.25">
      <c r="B15" t="s">
        <v>52</v>
      </c>
    </row>
    <row r="16" spans="1:7" x14ac:dyDescent="0.25">
      <c r="B16" t="s">
        <v>53</v>
      </c>
    </row>
    <row r="17" spans="1:7" x14ac:dyDescent="0.25">
      <c r="F17" t="s">
        <v>44</v>
      </c>
      <c r="G17">
        <v>170831</v>
      </c>
    </row>
    <row r="18" spans="1:7" x14ac:dyDescent="0.25">
      <c r="A18" t="s">
        <v>54</v>
      </c>
      <c r="E18" t="s">
        <v>55</v>
      </c>
      <c r="F18">
        <v>16000</v>
      </c>
      <c r="G18">
        <v>15900</v>
      </c>
    </row>
    <row r="19" spans="1:7" x14ac:dyDescent="0.25">
      <c r="E19" t="s">
        <v>56</v>
      </c>
      <c r="F19">
        <v>4500</v>
      </c>
    </row>
    <row r="20" spans="1:7" x14ac:dyDescent="0.25">
      <c r="E20" t="s">
        <v>57</v>
      </c>
      <c r="F20">
        <v>3500</v>
      </c>
    </row>
    <row r="21" spans="1:7" x14ac:dyDescent="0.25">
      <c r="E21" t="s">
        <v>58</v>
      </c>
      <c r="F21">
        <v>16000</v>
      </c>
      <c r="G21">
        <v>10300</v>
      </c>
    </row>
    <row r="22" spans="1:7" x14ac:dyDescent="0.25">
      <c r="E22" t="s">
        <v>59</v>
      </c>
      <c r="F22">
        <v>7500</v>
      </c>
    </row>
    <row r="23" spans="1:7" x14ac:dyDescent="0.25">
      <c r="E23" t="s">
        <v>60</v>
      </c>
      <c r="F23">
        <v>11300</v>
      </c>
    </row>
    <row r="25" spans="1:7" x14ac:dyDescent="0.25">
      <c r="A25" t="s">
        <v>61</v>
      </c>
    </row>
    <row r="27" spans="1:7" x14ac:dyDescent="0.25">
      <c r="A27" t="s">
        <v>62</v>
      </c>
      <c r="F27" t="s">
        <v>44</v>
      </c>
      <c r="G27">
        <v>170831</v>
      </c>
    </row>
    <row r="28" spans="1:7" x14ac:dyDescent="0.25">
      <c r="E28" t="s">
        <v>63</v>
      </c>
      <c r="F28">
        <v>10000</v>
      </c>
      <c r="G28">
        <v>5552</v>
      </c>
    </row>
    <row r="29" spans="1:7" x14ac:dyDescent="0.25">
      <c r="E29" t="s">
        <v>64</v>
      </c>
      <c r="F29">
        <v>10000</v>
      </c>
      <c r="G29">
        <v>0</v>
      </c>
    </row>
    <row r="30" spans="1:7" x14ac:dyDescent="0.25">
      <c r="E30" t="s">
        <v>65</v>
      </c>
      <c r="F30">
        <v>5000</v>
      </c>
      <c r="G30">
        <v>0</v>
      </c>
    </row>
    <row r="31" spans="1:7" x14ac:dyDescent="0.25">
      <c r="F31">
        <v>25000</v>
      </c>
    </row>
    <row r="32" spans="1:7" x14ac:dyDescent="0.25">
      <c r="E32" t="s">
        <v>66</v>
      </c>
    </row>
    <row r="36" spans="1:7" ht="30" x14ac:dyDescent="0.25">
      <c r="A36" t="s">
        <v>8</v>
      </c>
      <c r="B36" s="9" t="s">
        <v>67</v>
      </c>
    </row>
    <row r="37" spans="1:7" x14ac:dyDescent="0.25">
      <c r="B37" t="s">
        <v>68</v>
      </c>
    </row>
    <row r="38" spans="1:7" x14ac:dyDescent="0.25">
      <c r="F38" t="s">
        <v>44</v>
      </c>
      <c r="G38">
        <v>170831</v>
      </c>
    </row>
    <row r="39" spans="1:7" x14ac:dyDescent="0.25">
      <c r="A39" t="s">
        <v>6</v>
      </c>
      <c r="E39" t="s">
        <v>69</v>
      </c>
      <c r="F39">
        <v>5000</v>
      </c>
    </row>
    <row r="40" spans="1:7" x14ac:dyDescent="0.25">
      <c r="E40" t="s">
        <v>70</v>
      </c>
      <c r="F40">
        <v>2500</v>
      </c>
      <c r="G40">
        <v>417</v>
      </c>
    </row>
    <row r="41" spans="1:7" x14ac:dyDescent="0.25">
      <c r="E41" t="s">
        <v>71</v>
      </c>
      <c r="F41">
        <v>3000</v>
      </c>
      <c r="G41">
        <v>469</v>
      </c>
    </row>
    <row r="42" spans="1:7" x14ac:dyDescent="0.25">
      <c r="E42" t="s">
        <v>72</v>
      </c>
      <c r="F42">
        <v>4500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41" workbookViewId="0">
      <selection sqref="A1:G171"/>
    </sheetView>
  </sheetViews>
  <sheetFormatPr defaultRowHeight="15" x14ac:dyDescent="0.25"/>
  <cols>
    <col min="1" max="1" width="20" customWidth="1"/>
    <col min="2" max="2" width="13" customWidth="1"/>
    <col min="3" max="3" width="14.85546875" customWidth="1"/>
    <col min="4" max="4" width="13.140625" customWidth="1"/>
    <col min="5" max="5" width="13.28515625" customWidth="1"/>
  </cols>
  <sheetData>
    <row r="1" spans="1:5" x14ac:dyDescent="0.25">
      <c r="A1" t="s">
        <v>0</v>
      </c>
    </row>
    <row r="3" spans="1:5" x14ac:dyDescent="0.25">
      <c r="A3" t="s">
        <v>18</v>
      </c>
      <c r="C3" s="1" t="s">
        <v>19</v>
      </c>
      <c r="D3" s="1" t="s">
        <v>7</v>
      </c>
      <c r="E3" s="1" t="s">
        <v>20</v>
      </c>
    </row>
    <row r="5" spans="1:5" x14ac:dyDescent="0.25">
      <c r="A5" t="s">
        <v>1</v>
      </c>
      <c r="B5" t="s">
        <v>2</v>
      </c>
      <c r="C5" s="8">
        <f>21560+450+550+700+18200</f>
        <v>41460</v>
      </c>
      <c r="D5">
        <v>92000</v>
      </c>
      <c r="E5">
        <f>30216+1700+900</f>
        <v>32816</v>
      </c>
    </row>
    <row r="6" spans="1:5" x14ac:dyDescent="0.25">
      <c r="B6" t="s">
        <v>3</v>
      </c>
      <c r="C6">
        <f>SUM(2200)</f>
        <v>2200</v>
      </c>
      <c r="D6">
        <f>12000+14500</f>
        <v>26500</v>
      </c>
      <c r="E6">
        <f>SUM(5034+2500)</f>
        <v>7534</v>
      </c>
    </row>
    <row r="8" spans="1:5" x14ac:dyDescent="0.25">
      <c r="A8" t="s">
        <v>4</v>
      </c>
      <c r="B8" t="s">
        <v>2</v>
      </c>
      <c r="C8">
        <f>17740+450+750+675</f>
        <v>19615</v>
      </c>
      <c r="D8">
        <v>82700</v>
      </c>
      <c r="E8">
        <f>SUM(23000+500)</f>
        <v>23500</v>
      </c>
    </row>
    <row r="9" spans="1:5" x14ac:dyDescent="0.25">
      <c r="B9" t="s">
        <v>3</v>
      </c>
      <c r="C9">
        <f>4142+10197-314</f>
        <v>14025</v>
      </c>
      <c r="D9">
        <f>63850+4000</f>
        <v>67850</v>
      </c>
      <c r="E9">
        <f>1422+1050+11933</f>
        <v>14405</v>
      </c>
    </row>
    <row r="11" spans="1:5" x14ac:dyDescent="0.25">
      <c r="A11" t="s">
        <v>10</v>
      </c>
      <c r="B11" t="s">
        <v>2</v>
      </c>
      <c r="D11">
        <v>2000</v>
      </c>
    </row>
    <row r="12" spans="1:5" x14ac:dyDescent="0.25">
      <c r="B12" t="s">
        <v>3</v>
      </c>
      <c r="C12">
        <f>13680+3007+5566+4240+158+475</f>
        <v>27126</v>
      </c>
      <c r="D12">
        <f>7000+8000+16000+4500+3500+16000+11300+7500+6200</f>
        <v>80000</v>
      </c>
      <c r="E12">
        <f>10570+8001+2473</f>
        <v>21044</v>
      </c>
    </row>
    <row r="14" spans="1:5" x14ac:dyDescent="0.25">
      <c r="A14" t="s">
        <v>17</v>
      </c>
      <c r="B14" t="s">
        <v>2</v>
      </c>
      <c r="C14">
        <f>6800+2025</f>
        <v>8825</v>
      </c>
      <c r="D14">
        <v>49000</v>
      </c>
      <c r="E14">
        <f>12895+2910</f>
        <v>15805</v>
      </c>
    </row>
    <row r="15" spans="1:5" x14ac:dyDescent="0.25">
      <c r="B15" t="s">
        <v>3</v>
      </c>
      <c r="C15">
        <f>7703+3292+277</f>
        <v>11272</v>
      </c>
      <c r="D15">
        <f>15000</f>
        <v>15000</v>
      </c>
      <c r="E15">
        <f>430+483</f>
        <v>913</v>
      </c>
    </row>
    <row r="16" spans="1:5" ht="44.25" customHeight="1" x14ac:dyDescent="0.25">
      <c r="A16" s="9" t="s">
        <v>16</v>
      </c>
      <c r="B16" t="s">
        <v>3</v>
      </c>
      <c r="C16">
        <v>668</v>
      </c>
      <c r="D16">
        <f>10000+10000+5000</f>
        <v>25000</v>
      </c>
    </row>
    <row r="18" spans="1:5" x14ac:dyDescent="0.25">
      <c r="A18" t="s">
        <v>8</v>
      </c>
      <c r="B18" t="s">
        <v>2</v>
      </c>
      <c r="C18">
        <v>3135</v>
      </c>
      <c r="D18">
        <v>20000</v>
      </c>
    </row>
    <row r="19" spans="1:5" x14ac:dyDescent="0.25">
      <c r="B19" t="s">
        <v>3</v>
      </c>
      <c r="C19">
        <f>40+2524</f>
        <v>2564</v>
      </c>
      <c r="D19">
        <v>20000</v>
      </c>
      <c r="E19">
        <v>2939</v>
      </c>
    </row>
    <row r="21" spans="1:5" x14ac:dyDescent="0.25">
      <c r="A21" t="s">
        <v>5</v>
      </c>
      <c r="B21" t="s">
        <v>2</v>
      </c>
      <c r="C21">
        <f>10400</f>
        <v>10400</v>
      </c>
      <c r="D21">
        <v>10400</v>
      </c>
      <c r="E21">
        <f>10400</f>
        <v>10400</v>
      </c>
    </row>
    <row r="23" spans="1:5" x14ac:dyDescent="0.25">
      <c r="A23" t="s">
        <v>6</v>
      </c>
      <c r="B23" t="s">
        <v>2</v>
      </c>
    </row>
    <row r="24" spans="1:5" x14ac:dyDescent="0.25">
      <c r="B24" t="s">
        <v>3</v>
      </c>
      <c r="C24">
        <f>469+930+756+814</f>
        <v>2969</v>
      </c>
      <c r="D24">
        <f>1000+4500+2500+3500+1300+3000+5000</f>
        <v>20800</v>
      </c>
      <c r="E24">
        <f>1238+81+1549+681+600+350</f>
        <v>4499</v>
      </c>
    </row>
    <row r="26" spans="1:5" x14ac:dyDescent="0.25">
      <c r="A26" t="s">
        <v>9</v>
      </c>
      <c r="B26" t="s">
        <v>2</v>
      </c>
      <c r="C26">
        <f>C5+C8+C14+C18+C21+C23+C11</f>
        <v>83435</v>
      </c>
      <c r="D26">
        <f>D5+D8+D11+D14+D18+D21+D23</f>
        <v>256100</v>
      </c>
      <c r="E26">
        <f>E5+E8+E11+E14+E18+E21+E23</f>
        <v>82521</v>
      </c>
    </row>
    <row r="27" spans="1:5" x14ac:dyDescent="0.25">
      <c r="B27" t="s">
        <v>3</v>
      </c>
      <c r="C27">
        <f>C6+C9+C19+C24+C12+C15+C16</f>
        <v>60824</v>
      </c>
      <c r="D27">
        <f>D6+D9+D12+D19+D24+D15+D16</f>
        <v>255150</v>
      </c>
      <c r="E27">
        <f>E6+E9+E12+E19+E24+E15</f>
        <v>51334</v>
      </c>
    </row>
    <row r="28" spans="1:5" x14ac:dyDescent="0.25">
      <c r="C28">
        <f>C26-C27</f>
        <v>22611</v>
      </c>
      <c r="D28">
        <f>D26-D27</f>
        <v>950</v>
      </c>
      <c r="E28">
        <f>E26-E27</f>
        <v>31187</v>
      </c>
    </row>
    <row r="31" spans="1:5" x14ac:dyDescent="0.25">
      <c r="A31" t="s">
        <v>21</v>
      </c>
    </row>
    <row r="33" spans="1:3" x14ac:dyDescent="0.25">
      <c r="A33" t="s">
        <v>11</v>
      </c>
      <c r="C33">
        <v>535244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5" workbookViewId="0">
      <selection sqref="A1:O34"/>
    </sheetView>
  </sheetViews>
  <sheetFormatPr defaultRowHeight="15" x14ac:dyDescent="0.25"/>
  <cols>
    <col min="1" max="1" width="25.7109375" customWidth="1"/>
    <col min="2" max="2" width="16.42578125" customWidth="1"/>
    <col min="5" max="5" width="12.7109375" customWidth="1"/>
    <col min="6" max="6" width="15" customWidth="1"/>
  </cols>
  <sheetData>
    <row r="1" spans="1:8" x14ac:dyDescent="0.25">
      <c r="A1" t="s">
        <v>0</v>
      </c>
    </row>
    <row r="3" spans="1:8" x14ac:dyDescent="0.25">
      <c r="A3" t="s">
        <v>18</v>
      </c>
      <c r="C3" s="1" t="s">
        <v>23</v>
      </c>
      <c r="D3" s="1"/>
      <c r="E3" s="1" t="s">
        <v>7</v>
      </c>
      <c r="F3" s="1" t="s">
        <v>24</v>
      </c>
    </row>
    <row r="5" spans="1:8" x14ac:dyDescent="0.25">
      <c r="A5" t="s">
        <v>1</v>
      </c>
      <c r="B5" t="s">
        <v>2</v>
      </c>
      <c r="C5" s="8">
        <f>32860+600+800+700+18200-14000</f>
        <v>39160</v>
      </c>
      <c r="D5" s="8"/>
      <c r="E5">
        <v>92000</v>
      </c>
      <c r="F5">
        <f>38516+3100+1900+250</f>
        <v>43766</v>
      </c>
      <c r="H5" t="s">
        <v>27</v>
      </c>
    </row>
    <row r="6" spans="1:8" x14ac:dyDescent="0.25">
      <c r="B6" t="s">
        <v>3</v>
      </c>
      <c r="C6">
        <f>SUM(2200)</f>
        <v>2200</v>
      </c>
      <c r="D6" s="8">
        <f>C5-C6</f>
        <v>36960</v>
      </c>
      <c r="E6">
        <f>12000+14500</f>
        <v>26500</v>
      </c>
      <c r="F6">
        <f>SUM(5034+2500)</f>
        <v>7534</v>
      </c>
      <c r="G6">
        <f>F5-F6</f>
        <v>36232</v>
      </c>
    </row>
    <row r="8" spans="1:8" x14ac:dyDescent="0.25">
      <c r="A8" t="s">
        <v>4</v>
      </c>
      <c r="B8" t="s">
        <v>2</v>
      </c>
      <c r="C8">
        <f>17740+1710+450+900</f>
        <v>20800</v>
      </c>
      <c r="E8">
        <v>82700</v>
      </c>
      <c r="F8">
        <f>SUM(23000+1520+1050)</f>
        <v>25570</v>
      </c>
      <c r="H8" t="s">
        <v>25</v>
      </c>
    </row>
    <row r="9" spans="1:8" x14ac:dyDescent="0.25">
      <c r="B9" t="s">
        <v>3</v>
      </c>
      <c r="C9">
        <f>4142+14222-314+1625+1580+188</f>
        <v>21443</v>
      </c>
      <c r="D9">
        <f>C8-C9</f>
        <v>-643</v>
      </c>
      <c r="E9">
        <f>63850+4000</f>
        <v>67850</v>
      </c>
      <c r="F9">
        <f>1422+1000+1201+1050+17708</f>
        <v>22381</v>
      </c>
      <c r="G9">
        <f>F8-F9</f>
        <v>3189</v>
      </c>
    </row>
    <row r="11" spans="1:8" x14ac:dyDescent="0.25">
      <c r="A11" t="s">
        <v>10</v>
      </c>
      <c r="B11" t="s">
        <v>2</v>
      </c>
      <c r="E11">
        <v>2000</v>
      </c>
    </row>
    <row r="12" spans="1:8" x14ac:dyDescent="0.25">
      <c r="B12" t="s">
        <v>3</v>
      </c>
      <c r="C12">
        <f>13680+3007+5566+4240+158+475</f>
        <v>27126</v>
      </c>
      <c r="E12">
        <f>7000+8000+16000+4500+3500+16000+11300+7500+6200</f>
        <v>80000</v>
      </c>
      <c r="F12">
        <f>10570+8001+2473+1554</f>
        <v>22598</v>
      </c>
      <c r="H12" t="s">
        <v>26</v>
      </c>
    </row>
    <row r="14" spans="1:8" x14ac:dyDescent="0.25">
      <c r="A14" t="s">
        <v>17</v>
      </c>
      <c r="B14" t="s">
        <v>2</v>
      </c>
      <c r="C14" s="10">
        <f>7653+3785</f>
        <v>11438</v>
      </c>
      <c r="D14" s="10"/>
      <c r="E14">
        <v>49000</v>
      </c>
      <c r="F14">
        <f>16200+4055</f>
        <v>20255</v>
      </c>
    </row>
    <row r="15" spans="1:8" x14ac:dyDescent="0.25">
      <c r="B15" t="s">
        <v>3</v>
      </c>
      <c r="C15">
        <f>7703+3292+277</f>
        <v>11272</v>
      </c>
      <c r="E15">
        <f>15000</f>
        <v>15000</v>
      </c>
      <c r="F15">
        <f>9232+483</f>
        <v>9715</v>
      </c>
    </row>
    <row r="16" spans="1:8" s="9" customFormat="1" ht="30" x14ac:dyDescent="0.25">
      <c r="A16" s="9" t="s">
        <v>16</v>
      </c>
      <c r="B16" s="9" t="s">
        <v>3</v>
      </c>
      <c r="C16" s="9">
        <v>668</v>
      </c>
      <c r="E16" s="9">
        <f>10000+10000+5000</f>
        <v>25000</v>
      </c>
    </row>
    <row r="18" spans="1:6" x14ac:dyDescent="0.25">
      <c r="A18" t="s">
        <v>8</v>
      </c>
      <c r="B18" t="s">
        <v>2</v>
      </c>
      <c r="C18">
        <v>4602</v>
      </c>
      <c r="E18">
        <v>20000</v>
      </c>
    </row>
    <row r="19" spans="1:6" x14ac:dyDescent="0.25">
      <c r="B19" t="s">
        <v>3</v>
      </c>
      <c r="C19">
        <f>390+2928</f>
        <v>3318</v>
      </c>
      <c r="E19">
        <v>20000</v>
      </c>
      <c r="F19">
        <v>3883</v>
      </c>
    </row>
    <row r="21" spans="1:6" x14ac:dyDescent="0.25">
      <c r="A21" t="s">
        <v>5</v>
      </c>
      <c r="B21" t="s">
        <v>2</v>
      </c>
      <c r="C21">
        <f>10400</f>
        <v>10400</v>
      </c>
      <c r="E21">
        <v>10400</v>
      </c>
      <c r="F21">
        <f>10400</f>
        <v>10400</v>
      </c>
    </row>
    <row r="23" spans="1:6" x14ac:dyDescent="0.25">
      <c r="A23" t="s">
        <v>6</v>
      </c>
      <c r="B23" t="s">
        <v>2</v>
      </c>
      <c r="F23">
        <v>1310</v>
      </c>
    </row>
    <row r="24" spans="1:6" x14ac:dyDescent="0.25">
      <c r="B24" t="s">
        <v>3</v>
      </c>
      <c r="C24">
        <f>469+417+469+930+756+814</f>
        <v>3855</v>
      </c>
      <c r="E24">
        <f>1000+4500+2500+3500+1300+3000+5000</f>
        <v>20800</v>
      </c>
      <c r="F24">
        <f>1238+81+1549+465+394+681+600+350</f>
        <v>5358</v>
      </c>
    </row>
    <row r="26" spans="1:6" x14ac:dyDescent="0.25">
      <c r="A26" t="s">
        <v>9</v>
      </c>
      <c r="B26" t="s">
        <v>2</v>
      </c>
      <c r="C26" s="8">
        <f>C5+C8+C14+C18+C21+C23+C11</f>
        <v>86400</v>
      </c>
      <c r="D26" s="8"/>
      <c r="E26">
        <f>E5+E8+E11+E14+E18+E21+E23</f>
        <v>256100</v>
      </c>
      <c r="F26">
        <f>F5+F8+F11+F14+F18+F21+F23</f>
        <v>101301</v>
      </c>
    </row>
    <row r="27" spans="1:6" x14ac:dyDescent="0.25">
      <c r="B27" t="s">
        <v>3</v>
      </c>
      <c r="C27">
        <f>C6+C9+C19+C24+C12+C15+C16</f>
        <v>69882</v>
      </c>
      <c r="E27">
        <f>E6+E9+E12+E19+E24+E15+E16</f>
        <v>255150</v>
      </c>
      <c r="F27">
        <f>F6+F9+F12+F19+F24+F15</f>
        <v>71469</v>
      </c>
    </row>
    <row r="28" spans="1:6" x14ac:dyDescent="0.25">
      <c r="C28">
        <f>C26-C27</f>
        <v>16518</v>
      </c>
      <c r="E28">
        <f>E26-E27</f>
        <v>950</v>
      </c>
      <c r="F28">
        <f>F26-F27</f>
        <v>29832</v>
      </c>
    </row>
    <row r="31" spans="1:6" x14ac:dyDescent="0.25">
      <c r="A31" t="s">
        <v>22</v>
      </c>
    </row>
    <row r="33" spans="1:3" x14ac:dyDescent="0.25">
      <c r="A33" t="s">
        <v>11</v>
      </c>
      <c r="C33">
        <v>542590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7" workbookViewId="0">
      <selection sqref="A1:F35"/>
    </sheetView>
  </sheetViews>
  <sheetFormatPr defaultRowHeight="15" x14ac:dyDescent="0.25"/>
  <cols>
    <col min="1" max="1" width="16.28515625" customWidth="1"/>
    <col min="2" max="2" width="13.7109375" customWidth="1"/>
    <col min="6" max="6" width="13.42578125" customWidth="1"/>
  </cols>
  <sheetData>
    <row r="1" spans="1:15" x14ac:dyDescent="0.25">
      <c r="A1" t="s">
        <v>0</v>
      </c>
    </row>
    <row r="3" spans="1:15" x14ac:dyDescent="0.25">
      <c r="A3" t="s">
        <v>30</v>
      </c>
      <c r="C3" s="1" t="s">
        <v>29</v>
      </c>
      <c r="D3" s="1"/>
      <c r="E3" s="1" t="s">
        <v>7</v>
      </c>
      <c r="F3" s="1" t="s">
        <v>28</v>
      </c>
    </row>
    <row r="5" spans="1:15" x14ac:dyDescent="0.25">
      <c r="A5" t="s">
        <v>1</v>
      </c>
      <c r="B5" t="s">
        <v>2</v>
      </c>
      <c r="C5" s="8">
        <f>44980+650+800+100+700+18200-14000</f>
        <v>51430</v>
      </c>
      <c r="D5" s="8"/>
      <c r="E5">
        <v>92000</v>
      </c>
      <c r="F5">
        <f>40116+3100+1900+250</f>
        <v>45366</v>
      </c>
    </row>
    <row r="6" spans="1:15" x14ac:dyDescent="0.25">
      <c r="B6" t="s">
        <v>3</v>
      </c>
      <c r="C6">
        <f>SUM(2200)</f>
        <v>2200</v>
      </c>
      <c r="D6" s="8"/>
      <c r="E6">
        <f>12000+14500</f>
        <v>26500</v>
      </c>
      <c r="F6">
        <f>SUM(5034+6000)</f>
        <v>11034</v>
      </c>
    </row>
    <row r="8" spans="1:15" x14ac:dyDescent="0.25">
      <c r="A8" t="s">
        <v>4</v>
      </c>
      <c r="B8" t="s">
        <v>2</v>
      </c>
      <c r="C8">
        <f>17740+1710+200+3650+1100+900</f>
        <v>25300</v>
      </c>
      <c r="E8">
        <v>82700</v>
      </c>
      <c r="F8">
        <f>SUM(23135+1520+800+1350)</f>
        <v>26805</v>
      </c>
    </row>
    <row r="9" spans="1:15" x14ac:dyDescent="0.25">
      <c r="B9" t="s">
        <v>3</v>
      </c>
      <c r="C9">
        <f>4142+14222-314+1625+1580+188</f>
        <v>21443</v>
      </c>
      <c r="E9">
        <f>63850+4000</f>
        <v>67850</v>
      </c>
      <c r="F9">
        <f>1942+1000+1201+1050+17708</f>
        <v>22901</v>
      </c>
    </row>
    <row r="11" spans="1:15" x14ac:dyDescent="0.25">
      <c r="A11" t="s">
        <v>10</v>
      </c>
      <c r="B11" t="s">
        <v>2</v>
      </c>
      <c r="E11">
        <v>2000</v>
      </c>
    </row>
    <row r="12" spans="1:15" x14ac:dyDescent="0.25">
      <c r="B12" t="s">
        <v>3</v>
      </c>
      <c r="C12">
        <f>13680+3007+5566+4240+1712+475+919</f>
        <v>29599</v>
      </c>
      <c r="E12">
        <f>7000+8000+16000+4500+3500+16000+11300+7500+6200</f>
        <v>80000</v>
      </c>
      <c r="F12">
        <f>10570+8001+2473+1554+2144</f>
        <v>24742</v>
      </c>
    </row>
    <row r="14" spans="1:15" x14ac:dyDescent="0.25">
      <c r="A14" t="s">
        <v>17</v>
      </c>
      <c r="B14" t="s">
        <v>2</v>
      </c>
      <c r="C14" s="3">
        <f>9813+5325</f>
        <v>15138</v>
      </c>
      <c r="D14" s="3"/>
      <c r="E14">
        <v>49000</v>
      </c>
      <c r="F14">
        <f>18155+4685</f>
        <v>22840</v>
      </c>
    </row>
    <row r="15" spans="1:15" x14ac:dyDescent="0.25">
      <c r="B15" t="s">
        <v>3</v>
      </c>
      <c r="C15">
        <f>7703+3292+277</f>
        <v>11272</v>
      </c>
      <c r="E15">
        <f>15000</f>
        <v>15000</v>
      </c>
      <c r="F15">
        <f>9232+483</f>
        <v>9715</v>
      </c>
    </row>
    <row r="16" spans="1:15" ht="48" customHeight="1" x14ac:dyDescent="0.25">
      <c r="A16" s="9" t="s">
        <v>16</v>
      </c>
      <c r="B16" s="9" t="s">
        <v>3</v>
      </c>
      <c r="C16" s="9">
        <v>2260</v>
      </c>
      <c r="D16" s="9"/>
      <c r="E16" s="9">
        <f>10000+10000+5000</f>
        <v>25000</v>
      </c>
      <c r="F16" s="9">
        <v>1086</v>
      </c>
      <c r="G16" s="9"/>
      <c r="H16" s="9"/>
      <c r="I16" s="9"/>
      <c r="J16" s="9"/>
      <c r="K16" s="9"/>
      <c r="L16" s="9"/>
      <c r="M16" s="9"/>
      <c r="N16" s="9"/>
      <c r="O16" s="9"/>
    </row>
    <row r="18" spans="1:6" x14ac:dyDescent="0.25">
      <c r="A18" t="s">
        <v>8</v>
      </c>
      <c r="B18" t="s">
        <v>2</v>
      </c>
      <c r="C18">
        <v>5068</v>
      </c>
      <c r="E18">
        <v>20000</v>
      </c>
      <c r="F18">
        <v>2950</v>
      </c>
    </row>
    <row r="19" spans="1:6" x14ac:dyDescent="0.25">
      <c r="B19" t="s">
        <v>3</v>
      </c>
      <c r="C19">
        <f>390+5443</f>
        <v>5833</v>
      </c>
      <c r="E19">
        <v>20000</v>
      </c>
      <c r="F19">
        <v>6274</v>
      </c>
    </row>
    <row r="21" spans="1:6" x14ac:dyDescent="0.25">
      <c r="A21" t="s">
        <v>5</v>
      </c>
      <c r="B21" t="s">
        <v>2</v>
      </c>
      <c r="C21">
        <f>10400</f>
        <v>10400</v>
      </c>
      <c r="E21">
        <v>10400</v>
      </c>
      <c r="F21">
        <f>10400</f>
        <v>10400</v>
      </c>
    </row>
    <row r="23" spans="1:6" x14ac:dyDescent="0.25">
      <c r="A23" t="s">
        <v>6</v>
      </c>
      <c r="B23" t="s">
        <v>2</v>
      </c>
      <c r="F23">
        <v>3500</v>
      </c>
    </row>
    <row r="24" spans="1:6" x14ac:dyDescent="0.25">
      <c r="B24" t="s">
        <v>3</v>
      </c>
      <c r="C24">
        <f>469+417+469+930+843+814</f>
        <v>3942</v>
      </c>
      <c r="E24">
        <f>1000+4500+2500+3500+1300+3000+5000</f>
        <v>20800</v>
      </c>
      <c r="F24">
        <f>1238+81+1549+465+394+681+603+350</f>
        <v>5361</v>
      </c>
    </row>
    <row r="26" spans="1:6" x14ac:dyDescent="0.25">
      <c r="A26" t="s">
        <v>9</v>
      </c>
      <c r="B26" t="s">
        <v>2</v>
      </c>
      <c r="C26" s="8">
        <f>C5+C8+C14+C18+C21+C23+C11</f>
        <v>107336</v>
      </c>
      <c r="D26" s="8"/>
      <c r="E26">
        <f>E5+E8+E11+E14+E18+E21+E23</f>
        <v>256100</v>
      </c>
      <c r="F26">
        <f>F5+F8+F11+F14+F18+F21+F23</f>
        <v>111861</v>
      </c>
    </row>
    <row r="27" spans="1:6" x14ac:dyDescent="0.25">
      <c r="B27" t="s">
        <v>3</v>
      </c>
      <c r="C27">
        <f>C6+C9+C19+C24+C12+C15+C16</f>
        <v>76549</v>
      </c>
      <c r="E27">
        <f>E6+E9+E12+E19+E24+E15+E16</f>
        <v>255150</v>
      </c>
      <c r="F27">
        <f>F6+F9+F12+F19+F24+F15+F16</f>
        <v>81113</v>
      </c>
    </row>
    <row r="28" spans="1:6" x14ac:dyDescent="0.25">
      <c r="C28">
        <f>C26-C27</f>
        <v>30787</v>
      </c>
      <c r="E28">
        <f>E26-E27</f>
        <v>950</v>
      </c>
      <c r="F28">
        <f>F26-F27</f>
        <v>30748</v>
      </c>
    </row>
    <row r="31" spans="1:6" x14ac:dyDescent="0.25">
      <c r="A31" t="s">
        <v>31</v>
      </c>
    </row>
    <row r="33" spans="1:3" x14ac:dyDescent="0.25">
      <c r="A33" t="s">
        <v>11</v>
      </c>
      <c r="C33">
        <v>542860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L27" sqref="L27"/>
    </sheetView>
  </sheetViews>
  <sheetFormatPr defaultRowHeight="15" x14ac:dyDescent="0.25"/>
  <cols>
    <col min="1" max="1" width="17.5703125" customWidth="1"/>
    <col min="2" max="2" width="18.7109375" customWidth="1"/>
  </cols>
  <sheetData>
    <row r="1" spans="1:8" x14ac:dyDescent="0.25">
      <c r="A1" t="s">
        <v>0</v>
      </c>
    </row>
    <row r="3" spans="1:8" x14ac:dyDescent="0.25">
      <c r="A3" t="s">
        <v>37</v>
      </c>
      <c r="C3" t="s">
        <v>38</v>
      </c>
      <c r="E3" t="s">
        <v>7</v>
      </c>
      <c r="F3" t="s">
        <v>39</v>
      </c>
    </row>
    <row r="5" spans="1:8" x14ac:dyDescent="0.25">
      <c r="A5" t="s">
        <v>1</v>
      </c>
      <c r="B5" t="s">
        <v>2</v>
      </c>
      <c r="C5" s="11">
        <v>91740</v>
      </c>
      <c r="E5" s="11">
        <v>92000</v>
      </c>
      <c r="F5" s="11">
        <v>52326</v>
      </c>
    </row>
    <row r="6" spans="1:8" x14ac:dyDescent="0.25">
      <c r="B6" t="s">
        <v>3</v>
      </c>
      <c r="C6" s="11">
        <v>3739</v>
      </c>
      <c r="E6" s="11">
        <v>26500</v>
      </c>
      <c r="F6" s="11">
        <v>17534</v>
      </c>
    </row>
    <row r="8" spans="1:8" x14ac:dyDescent="0.25">
      <c r="A8" t="s">
        <v>4</v>
      </c>
      <c r="B8" t="s">
        <v>2</v>
      </c>
      <c r="C8" s="11">
        <v>39055</v>
      </c>
      <c r="E8" s="11">
        <v>82700</v>
      </c>
      <c r="F8" s="11">
        <v>34380</v>
      </c>
      <c r="H8" t="s">
        <v>40</v>
      </c>
    </row>
    <row r="9" spans="1:8" x14ac:dyDescent="0.25">
      <c r="B9" t="s">
        <v>3</v>
      </c>
      <c r="C9" s="11">
        <v>34248</v>
      </c>
      <c r="E9" s="11">
        <v>67850</v>
      </c>
      <c r="F9" s="11">
        <v>33454</v>
      </c>
    </row>
    <row r="11" spans="1:8" x14ac:dyDescent="0.25">
      <c r="A11" t="s">
        <v>10</v>
      </c>
      <c r="B11" t="s">
        <v>2</v>
      </c>
      <c r="C11">
        <v>400</v>
      </c>
      <c r="E11" s="11">
        <v>2000</v>
      </c>
    </row>
    <row r="12" spans="1:8" x14ac:dyDescent="0.25">
      <c r="B12" t="s">
        <v>3</v>
      </c>
      <c r="C12" s="11">
        <v>54301</v>
      </c>
      <c r="E12" s="11">
        <v>80000</v>
      </c>
      <c r="F12" s="11">
        <v>39262</v>
      </c>
    </row>
    <row r="14" spans="1:8" x14ac:dyDescent="0.25">
      <c r="A14" t="s">
        <v>17</v>
      </c>
      <c r="B14" t="s">
        <v>2</v>
      </c>
      <c r="C14" s="11">
        <v>25988</v>
      </c>
      <c r="E14" s="11">
        <v>49000</v>
      </c>
      <c r="F14" s="11">
        <v>34095</v>
      </c>
    </row>
    <row r="15" spans="1:8" x14ac:dyDescent="0.25">
      <c r="B15" t="s">
        <v>3</v>
      </c>
      <c r="C15" s="11">
        <v>12862</v>
      </c>
      <c r="E15" s="11">
        <v>15000</v>
      </c>
      <c r="F15" s="11">
        <v>11423</v>
      </c>
    </row>
    <row r="16" spans="1:8" x14ac:dyDescent="0.25">
      <c r="A16" t="s">
        <v>16</v>
      </c>
      <c r="B16" t="s">
        <v>3</v>
      </c>
      <c r="C16" s="11">
        <v>2260</v>
      </c>
      <c r="E16" s="11">
        <v>25000</v>
      </c>
      <c r="F16" s="11">
        <v>2244</v>
      </c>
    </row>
    <row r="18" spans="1:6" x14ac:dyDescent="0.25">
      <c r="A18" t="s">
        <v>8</v>
      </c>
      <c r="B18" t="s">
        <v>2</v>
      </c>
      <c r="C18" s="11">
        <v>9085</v>
      </c>
      <c r="E18" s="11">
        <v>20000</v>
      </c>
      <c r="F18" s="11">
        <v>9335</v>
      </c>
    </row>
    <row r="19" spans="1:6" x14ac:dyDescent="0.25">
      <c r="B19" t="s">
        <v>3</v>
      </c>
      <c r="C19" s="11">
        <v>11812</v>
      </c>
      <c r="E19" s="11">
        <v>20000</v>
      </c>
      <c r="F19" s="11">
        <v>12000</v>
      </c>
    </row>
    <row r="21" spans="1:6" x14ac:dyDescent="0.25">
      <c r="A21" t="s">
        <v>5</v>
      </c>
      <c r="B21" t="s">
        <v>2</v>
      </c>
      <c r="C21" s="11">
        <v>10400</v>
      </c>
      <c r="E21" s="11">
        <v>10400</v>
      </c>
      <c r="F21" s="11">
        <v>10400</v>
      </c>
    </row>
    <row r="23" spans="1:6" x14ac:dyDescent="0.25">
      <c r="A23" t="s">
        <v>6</v>
      </c>
      <c r="B23" t="s">
        <v>2</v>
      </c>
      <c r="F23" s="11">
        <v>3500</v>
      </c>
    </row>
    <row r="24" spans="1:6" x14ac:dyDescent="0.25">
      <c r="B24" t="s">
        <v>3</v>
      </c>
      <c r="C24" s="11">
        <v>6755</v>
      </c>
      <c r="E24" s="11">
        <v>20800</v>
      </c>
      <c r="F24" s="11">
        <v>5454</v>
      </c>
    </row>
    <row r="26" spans="1:6" x14ac:dyDescent="0.25">
      <c r="A26" t="s">
        <v>9</v>
      </c>
      <c r="B26" t="s">
        <v>2</v>
      </c>
      <c r="C26" s="11">
        <v>176668</v>
      </c>
      <c r="E26" s="11">
        <v>256100</v>
      </c>
      <c r="F26" s="11">
        <v>144036</v>
      </c>
    </row>
    <row r="27" spans="1:6" x14ac:dyDescent="0.25">
      <c r="B27" t="s">
        <v>3</v>
      </c>
      <c r="C27" s="11">
        <v>125977</v>
      </c>
      <c r="E27" s="11">
        <v>255150</v>
      </c>
      <c r="F27" s="11">
        <v>121371</v>
      </c>
    </row>
    <row r="28" spans="1:6" x14ac:dyDescent="0.25">
      <c r="C28" s="11">
        <v>50691</v>
      </c>
      <c r="E28">
        <v>950</v>
      </c>
      <c r="F28" s="11">
        <v>22665</v>
      </c>
    </row>
    <row r="31" spans="1:6" x14ac:dyDescent="0.25">
      <c r="A31" t="s">
        <v>41</v>
      </c>
    </row>
    <row r="33" spans="1:3" x14ac:dyDescent="0.25">
      <c r="A33" t="s">
        <v>11</v>
      </c>
      <c r="C33" s="11">
        <v>562763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8" workbookViewId="0">
      <selection sqref="A1:G1048576"/>
    </sheetView>
  </sheetViews>
  <sheetFormatPr defaultRowHeight="15" x14ac:dyDescent="0.25"/>
  <cols>
    <col min="1" max="1" width="20.140625" customWidth="1"/>
    <col min="2" max="2" width="11.42578125" customWidth="1"/>
    <col min="5" max="5" width="10.5703125" customWidth="1"/>
    <col min="6" max="6" width="14.7109375" customWidth="1"/>
  </cols>
  <sheetData>
    <row r="1" spans="1:8" x14ac:dyDescent="0.25">
      <c r="A1" t="s">
        <v>0</v>
      </c>
    </row>
    <row r="3" spans="1:8" x14ac:dyDescent="0.25">
      <c r="A3" t="s">
        <v>36</v>
      </c>
      <c r="C3" s="1" t="s">
        <v>32</v>
      </c>
      <c r="D3" s="1"/>
      <c r="E3" s="1" t="s">
        <v>7</v>
      </c>
      <c r="F3" s="1" t="s">
        <v>33</v>
      </c>
    </row>
    <row r="5" spans="1:8" x14ac:dyDescent="0.25">
      <c r="A5" t="s">
        <v>1</v>
      </c>
      <c r="B5" t="s">
        <v>2</v>
      </c>
      <c r="C5" s="8">
        <f>86040+2750+2450+100+700+36990-30300</f>
        <v>98730</v>
      </c>
      <c r="D5" s="8"/>
      <c r="E5">
        <v>92000</v>
      </c>
      <c r="F5">
        <f>46916+5650+4050+250+360</f>
        <v>57226</v>
      </c>
    </row>
    <row r="6" spans="1:8" x14ac:dyDescent="0.25">
      <c r="B6" t="s">
        <v>3</v>
      </c>
      <c r="C6">
        <f>SUM(3739)</f>
        <v>3739</v>
      </c>
      <c r="D6" s="8"/>
      <c r="E6">
        <f>12000+14500</f>
        <v>26500</v>
      </c>
      <c r="F6">
        <f>SUM(5034+12500+1828)</f>
        <v>19362</v>
      </c>
      <c r="H6" t="s">
        <v>34</v>
      </c>
    </row>
    <row r="8" spans="1:8" x14ac:dyDescent="0.25">
      <c r="A8" t="s">
        <v>4</v>
      </c>
      <c r="B8" t="s">
        <v>2</v>
      </c>
      <c r="C8">
        <f>1710+5905+6350+20140+8150+1750+1000</f>
        <v>45005</v>
      </c>
      <c r="E8">
        <v>82700</v>
      </c>
      <c r="F8">
        <f>SUM(23135+1520+4290+4945+17320+5340)</f>
        <v>56550</v>
      </c>
      <c r="H8" t="s">
        <v>75</v>
      </c>
    </row>
    <row r="9" spans="1:8" x14ac:dyDescent="0.25">
      <c r="B9" t="s">
        <v>3</v>
      </c>
      <c r="C9">
        <f>1580+4142+150+188+1905+2934+7241+2200+14222-314</f>
        <v>34248</v>
      </c>
      <c r="E9">
        <f>63850+4000</f>
        <v>67850</v>
      </c>
      <c r="F9">
        <f>2179+438+1557+1201+2000+6985+1050+4861+17708</f>
        <v>37979</v>
      </c>
    </row>
    <row r="11" spans="1:8" x14ac:dyDescent="0.25">
      <c r="A11" t="s">
        <v>10</v>
      </c>
      <c r="B11" t="s">
        <v>2</v>
      </c>
      <c r="E11">
        <v>2000</v>
      </c>
    </row>
    <row r="12" spans="1:8" x14ac:dyDescent="0.25">
      <c r="B12" t="s">
        <v>3</v>
      </c>
      <c r="C12">
        <f>13680+8007+15953+4240+1712+475+14090+4973</f>
        <v>63130</v>
      </c>
      <c r="E12">
        <f>7000+8000+16000+4500+3500+16000+11300+7500+6200</f>
        <v>80000</v>
      </c>
      <c r="F12">
        <f>10570+8001+10808+1554+355+8405+4400</f>
        <v>44093</v>
      </c>
      <c r="H12" t="s">
        <v>74</v>
      </c>
    </row>
    <row r="14" spans="1:8" x14ac:dyDescent="0.25">
      <c r="A14" t="s">
        <v>17</v>
      </c>
      <c r="B14" t="s">
        <v>2</v>
      </c>
      <c r="C14" s="3">
        <f>18478+9430</f>
        <v>27908</v>
      </c>
      <c r="D14" s="3"/>
      <c r="E14">
        <v>49000</v>
      </c>
      <c r="F14">
        <f>29505+11855</f>
        <v>41360</v>
      </c>
    </row>
    <row r="15" spans="1:8" x14ac:dyDescent="0.25">
      <c r="B15" t="s">
        <v>3</v>
      </c>
      <c r="C15">
        <f>7703+3292+277+1590</f>
        <v>12862</v>
      </c>
      <c r="E15">
        <f>15000</f>
        <v>15000</v>
      </c>
      <c r="F15">
        <f>9232+483+1708</f>
        <v>11423</v>
      </c>
    </row>
    <row r="16" spans="1:8" ht="45" x14ac:dyDescent="0.25">
      <c r="A16" s="9" t="s">
        <v>16</v>
      </c>
      <c r="B16" s="9" t="s">
        <v>3</v>
      </c>
      <c r="C16" s="9">
        <v>2260</v>
      </c>
      <c r="D16" s="9"/>
      <c r="E16" s="9">
        <f>10000+10000+5000</f>
        <v>25000</v>
      </c>
      <c r="F16" s="9">
        <v>2244</v>
      </c>
    </row>
    <row r="18" spans="1:8" x14ac:dyDescent="0.25">
      <c r="A18" t="s">
        <v>8</v>
      </c>
      <c r="B18" t="s">
        <v>2</v>
      </c>
      <c r="C18">
        <v>12787</v>
      </c>
      <c r="E18">
        <v>20000</v>
      </c>
      <c r="F18">
        <v>9335</v>
      </c>
      <c r="H18" t="s">
        <v>35</v>
      </c>
    </row>
    <row r="19" spans="1:8" x14ac:dyDescent="0.25">
      <c r="B19" t="s">
        <v>3</v>
      </c>
      <c r="C19">
        <f>390+17519</f>
        <v>17909</v>
      </c>
      <c r="E19">
        <v>20000</v>
      </c>
      <c r="F19">
        <v>13129</v>
      </c>
    </row>
    <row r="21" spans="1:8" x14ac:dyDescent="0.25">
      <c r="A21" t="s">
        <v>5</v>
      </c>
      <c r="B21" t="s">
        <v>2</v>
      </c>
      <c r="C21">
        <f>10400</f>
        <v>10400</v>
      </c>
      <c r="E21">
        <v>10400</v>
      </c>
      <c r="F21">
        <f>10400</f>
        <v>10400</v>
      </c>
    </row>
    <row r="23" spans="1:8" x14ac:dyDescent="0.25">
      <c r="A23" t="s">
        <v>6</v>
      </c>
      <c r="B23" t="s">
        <v>2</v>
      </c>
      <c r="C23">
        <v>1400</v>
      </c>
      <c r="F23">
        <f>3500+400</f>
        <v>3900</v>
      </c>
    </row>
    <row r="24" spans="1:8" x14ac:dyDescent="0.25">
      <c r="B24" t="s">
        <v>3</v>
      </c>
      <c r="C24">
        <f>1668+674+956+417+315+469+1182+843+1177</f>
        <v>7701</v>
      </c>
      <c r="E24">
        <f>1000+4500+2500+3500+1300+3000+5000</f>
        <v>20800</v>
      </c>
      <c r="F24">
        <f>1238+479+1549+160+394+350+681+603</f>
        <v>5454</v>
      </c>
    </row>
    <row r="26" spans="1:8" x14ac:dyDescent="0.25">
      <c r="A26" t="s">
        <v>9</v>
      </c>
      <c r="B26" t="s">
        <v>2</v>
      </c>
      <c r="C26" s="8">
        <f>C5+C8+C14+C18+C21+C23+C11</f>
        <v>196230</v>
      </c>
      <c r="D26" s="8"/>
      <c r="E26">
        <f>E5+E8+E11+E14+E18+E21+E23</f>
        <v>256100</v>
      </c>
      <c r="F26">
        <f>F5+F8+F11+F14+F18+F21+F23</f>
        <v>178771</v>
      </c>
    </row>
    <row r="27" spans="1:8" x14ac:dyDescent="0.25">
      <c r="B27" t="s">
        <v>3</v>
      </c>
      <c r="C27">
        <f>C6+C9+C19+C24+C12+C15+C16</f>
        <v>141849</v>
      </c>
      <c r="E27">
        <f>E6+E9+E12+E19+E24+E15+E16</f>
        <v>255150</v>
      </c>
      <c r="F27">
        <f>F6+F9+F12+F19+F24+F15+F16</f>
        <v>133684</v>
      </c>
    </row>
    <row r="28" spans="1:8" x14ac:dyDescent="0.25">
      <c r="C28">
        <f>C26-C27</f>
        <v>54381</v>
      </c>
      <c r="E28">
        <f>E26-E27</f>
        <v>950</v>
      </c>
      <c r="F28">
        <f>F26-F27</f>
        <v>45087</v>
      </c>
    </row>
    <row r="31" spans="1:8" x14ac:dyDescent="0.25">
      <c r="A31" t="s">
        <v>73</v>
      </c>
    </row>
    <row r="33" spans="1:3" x14ac:dyDescent="0.25">
      <c r="A33" t="s">
        <v>11</v>
      </c>
      <c r="C33">
        <v>566014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9" workbookViewId="0">
      <selection sqref="A1:H1048576"/>
    </sheetView>
  </sheetViews>
  <sheetFormatPr defaultRowHeight="15" x14ac:dyDescent="0.25"/>
  <cols>
    <col min="1" max="1" width="20.140625" customWidth="1"/>
    <col min="2" max="2" width="11.42578125" customWidth="1"/>
    <col min="5" max="5" width="10.5703125" customWidth="1"/>
    <col min="6" max="6" width="14.7109375" customWidth="1"/>
  </cols>
  <sheetData>
    <row r="1" spans="1:6" x14ac:dyDescent="0.25">
      <c r="A1" t="s">
        <v>0</v>
      </c>
    </row>
    <row r="3" spans="1:6" x14ac:dyDescent="0.25">
      <c r="A3" t="s">
        <v>76</v>
      </c>
      <c r="C3" s="1" t="s">
        <v>77</v>
      </c>
      <c r="D3" s="1"/>
      <c r="E3" s="1" t="s">
        <v>7</v>
      </c>
      <c r="F3" s="1" t="s">
        <v>78</v>
      </c>
    </row>
    <row r="5" spans="1:6" x14ac:dyDescent="0.25">
      <c r="A5" t="s">
        <v>1</v>
      </c>
      <c r="B5" t="s">
        <v>2</v>
      </c>
      <c r="C5" s="8">
        <f>93040+3450+2900+100+700+36990-30300</f>
        <v>106880</v>
      </c>
      <c r="D5" s="8"/>
      <c r="E5">
        <v>92000</v>
      </c>
      <c r="F5">
        <f>62036+7600+5400+250+360</f>
        <v>75646</v>
      </c>
    </row>
    <row r="6" spans="1:6" x14ac:dyDescent="0.25">
      <c r="B6" t="s">
        <v>3</v>
      </c>
      <c r="C6">
        <f>SUM(3736)</f>
        <v>3736</v>
      </c>
      <c r="D6" s="8"/>
      <c r="E6">
        <f>12000+14500</f>
        <v>26500</v>
      </c>
      <c r="F6">
        <f>SUM(5034+24624+1828)</f>
        <v>31486</v>
      </c>
    </row>
    <row r="8" spans="1:6" x14ac:dyDescent="0.25">
      <c r="A8" t="s">
        <v>4</v>
      </c>
      <c r="B8" t="s">
        <v>2</v>
      </c>
      <c r="C8">
        <f>1710+5905+6350+550+52060+8150+1750+1050</f>
        <v>77525</v>
      </c>
      <c r="E8">
        <v>82700</v>
      </c>
      <c r="F8">
        <f>SUM(1520+4290+4945+1025+42025+17320+5980)</f>
        <v>77105</v>
      </c>
    </row>
    <row r="9" spans="1:6" x14ac:dyDescent="0.25">
      <c r="B9" t="s">
        <v>3</v>
      </c>
      <c r="C9">
        <f>1580+4142+3739+150+188+1905+2934+7941+2200+33711-314</f>
        <v>58176</v>
      </c>
      <c r="E9">
        <f>63850+4000</f>
        <v>67850</v>
      </c>
      <c r="F9">
        <f>2676+556+111+438+1557+1201+2000+7650+3670+4861+25297+7096</f>
        <v>57113</v>
      </c>
    </row>
    <row r="11" spans="1:6" x14ac:dyDescent="0.25">
      <c r="A11" t="s">
        <v>10</v>
      </c>
      <c r="B11" t="s">
        <v>2</v>
      </c>
      <c r="E11">
        <v>2000</v>
      </c>
    </row>
    <row r="12" spans="1:6" x14ac:dyDescent="0.25">
      <c r="B12" t="s">
        <v>3</v>
      </c>
      <c r="C12">
        <f>13680+8007+15953+4240+3266+475+16846+4973</f>
        <v>67440</v>
      </c>
      <c r="E12">
        <f>7000+8000+16000+4500+3500+16000+11300+7500+6200</f>
        <v>80000</v>
      </c>
      <c r="F12">
        <f>10570+10501+10808+3398+355+14837+4400</f>
        <v>54869</v>
      </c>
    </row>
    <row r="14" spans="1:6" x14ac:dyDescent="0.25">
      <c r="A14" t="s">
        <v>17</v>
      </c>
      <c r="B14" t="s">
        <v>2</v>
      </c>
      <c r="C14" s="3">
        <f>19628+9705</f>
        <v>29333</v>
      </c>
      <c r="D14" s="3"/>
      <c r="E14">
        <v>49000</v>
      </c>
      <c r="F14">
        <f>31305+16735</f>
        <v>48040</v>
      </c>
    </row>
    <row r="15" spans="1:6" x14ac:dyDescent="0.25">
      <c r="B15" t="s">
        <v>3</v>
      </c>
      <c r="C15">
        <f>7703+1590</f>
        <v>9293</v>
      </c>
      <c r="E15">
        <f>15000</f>
        <v>15000</v>
      </c>
      <c r="F15">
        <f>12112+1708</f>
        <v>13820</v>
      </c>
    </row>
    <row r="16" spans="1:6" ht="45" x14ac:dyDescent="0.25">
      <c r="A16" s="9" t="s">
        <v>16</v>
      </c>
      <c r="B16" s="9" t="s">
        <v>3</v>
      </c>
      <c r="C16" s="9">
        <f>3292+277+5514</f>
        <v>9083</v>
      </c>
      <c r="D16" s="9"/>
      <c r="E16" s="9">
        <f>10000+10000+5000</f>
        <v>25000</v>
      </c>
      <c r="F16" s="9">
        <f>483+2672</f>
        <v>3155</v>
      </c>
    </row>
    <row r="18" spans="1:9" x14ac:dyDescent="0.25">
      <c r="A18" t="s">
        <v>8</v>
      </c>
      <c r="B18" t="s">
        <v>2</v>
      </c>
      <c r="C18">
        <v>16528</v>
      </c>
      <c r="E18">
        <v>20000</v>
      </c>
      <c r="F18">
        <v>16220</v>
      </c>
    </row>
    <row r="19" spans="1:9" x14ac:dyDescent="0.25">
      <c r="B19" t="s">
        <v>3</v>
      </c>
      <c r="C19">
        <f>390+18875</f>
        <v>19265</v>
      </c>
      <c r="E19">
        <v>20000</v>
      </c>
      <c r="F19">
        <v>19410</v>
      </c>
    </row>
    <row r="21" spans="1:9" x14ac:dyDescent="0.25">
      <c r="A21" t="s">
        <v>5</v>
      </c>
      <c r="B21" t="s">
        <v>2</v>
      </c>
      <c r="C21">
        <f>10400</f>
        <v>10400</v>
      </c>
      <c r="E21">
        <v>10400</v>
      </c>
      <c r="F21">
        <f>10400</f>
        <v>10400</v>
      </c>
    </row>
    <row r="23" spans="1:9" x14ac:dyDescent="0.25">
      <c r="A23" t="s">
        <v>6</v>
      </c>
      <c r="B23" t="s">
        <v>2</v>
      </c>
      <c r="C23">
        <v>1400</v>
      </c>
      <c r="F23">
        <f>3500+400</f>
        <v>3900</v>
      </c>
    </row>
    <row r="24" spans="1:9" x14ac:dyDescent="0.25">
      <c r="B24" t="s">
        <v>3</v>
      </c>
      <c r="C24">
        <f>3218+674+956+1311+315+469+1301+843+1907</f>
        <v>10994</v>
      </c>
      <c r="E24">
        <f>1000+4500+2500+3500+1300+3000+5000</f>
        <v>20800</v>
      </c>
      <c r="F24">
        <f>1530+799+1238+534+1549+160+394+350+681+609+200</f>
        <v>8044</v>
      </c>
      <c r="I24" s="12"/>
    </row>
    <row r="26" spans="1:9" x14ac:dyDescent="0.25">
      <c r="A26" t="s">
        <v>9</v>
      </c>
      <c r="B26" t="s">
        <v>2</v>
      </c>
      <c r="C26" s="8">
        <f>C5+C8+C14+C18+C21+C23+C11</f>
        <v>242066</v>
      </c>
      <c r="D26" s="8"/>
      <c r="E26">
        <f>E5+E8+E11+E14+E18+E21+E23</f>
        <v>256100</v>
      </c>
      <c r="F26">
        <f>F5+F8+F11+F14+F18+F21+F23</f>
        <v>231311</v>
      </c>
    </row>
    <row r="27" spans="1:9" x14ac:dyDescent="0.25">
      <c r="B27" t="s">
        <v>3</v>
      </c>
      <c r="C27">
        <f>C6+C9+C19+C24+C12+C15+C16</f>
        <v>177987</v>
      </c>
      <c r="E27">
        <f>E6+E9+E12+E19+E24+E15+E16</f>
        <v>255150</v>
      </c>
      <c r="F27">
        <f>F6+F9+F12+F19+F24+F15+F16</f>
        <v>187897</v>
      </c>
    </row>
    <row r="28" spans="1:9" x14ac:dyDescent="0.25">
      <c r="C28">
        <f>C26-C27</f>
        <v>64079</v>
      </c>
      <c r="E28">
        <f>E26-E27</f>
        <v>950</v>
      </c>
      <c r="F28">
        <f>F26-F27</f>
        <v>43414</v>
      </c>
    </row>
    <row r="31" spans="1:9" x14ac:dyDescent="0.25">
      <c r="A31" t="s">
        <v>79</v>
      </c>
    </row>
    <row r="33" spans="1:3" x14ac:dyDescent="0.25">
      <c r="A33" t="s">
        <v>11</v>
      </c>
      <c r="C33">
        <v>575712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9" workbookViewId="0">
      <selection activeCell="A32" sqref="A32"/>
    </sheetView>
  </sheetViews>
  <sheetFormatPr defaultRowHeight="15" x14ac:dyDescent="0.25"/>
  <cols>
    <col min="1" max="1" width="20.140625" customWidth="1"/>
    <col min="2" max="2" width="11.42578125" customWidth="1"/>
    <col min="5" max="5" width="10.5703125" customWidth="1"/>
    <col min="6" max="6" width="14.7109375" customWidth="1"/>
  </cols>
  <sheetData>
    <row r="1" spans="1:6" x14ac:dyDescent="0.25">
      <c r="A1" t="s">
        <v>0</v>
      </c>
    </row>
    <row r="3" spans="1:6" x14ac:dyDescent="0.25">
      <c r="A3" t="s">
        <v>80</v>
      </c>
      <c r="C3" s="1" t="s">
        <v>81</v>
      </c>
      <c r="D3" s="1"/>
      <c r="E3" s="1" t="s">
        <v>7</v>
      </c>
      <c r="F3" s="1" t="s">
        <v>82</v>
      </c>
    </row>
    <row r="5" spans="1:6" x14ac:dyDescent="0.25">
      <c r="A5" t="s">
        <v>1</v>
      </c>
      <c r="B5" t="s">
        <v>2</v>
      </c>
      <c r="C5" s="8">
        <f>93140+3650+3450+100+700+36990-30300</f>
        <v>107730</v>
      </c>
      <c r="D5" s="8"/>
      <c r="E5">
        <v>92000</v>
      </c>
      <c r="F5">
        <f>62036+7600+5400+250+360</f>
        <v>75646</v>
      </c>
    </row>
    <row r="6" spans="1:6" x14ac:dyDescent="0.25">
      <c r="B6" t="s">
        <v>3</v>
      </c>
      <c r="C6">
        <f>SUM(17411)</f>
        <v>17411</v>
      </c>
      <c r="D6" s="8"/>
      <c r="E6">
        <f>12000+14500</f>
        <v>26500</v>
      </c>
      <c r="F6">
        <f>SUM(5034+24624)</f>
        <v>29658</v>
      </c>
    </row>
    <row r="8" spans="1:6" x14ac:dyDescent="0.25">
      <c r="A8" t="s">
        <v>4</v>
      </c>
      <c r="B8" t="s">
        <v>2</v>
      </c>
      <c r="C8">
        <f>1710+5905+6350+1800+52060+8150+2910+1050</f>
        <v>79935</v>
      </c>
      <c r="E8">
        <v>82700</v>
      </c>
      <c r="F8">
        <f>SUM(1520+4290+4945+1025+42025+17320+5980)</f>
        <v>77105</v>
      </c>
    </row>
    <row r="9" spans="1:6" x14ac:dyDescent="0.25">
      <c r="B9" t="s">
        <v>3</v>
      </c>
      <c r="C9">
        <f>3780+4142+3739+150+188+2425+3454+8461+1521+2200+34686-314</f>
        <v>64432</v>
      </c>
      <c r="E9">
        <f>63850+4000</f>
        <v>67850</v>
      </c>
      <c r="F9">
        <f>2676+556+111+1828+438+1557+1201+2000+7650+3670+4861+25297+7096</f>
        <v>58941</v>
      </c>
    </row>
    <row r="11" spans="1:6" x14ac:dyDescent="0.25">
      <c r="A11" t="s">
        <v>10</v>
      </c>
      <c r="B11" t="s">
        <v>2</v>
      </c>
      <c r="E11">
        <v>2000</v>
      </c>
    </row>
    <row r="12" spans="1:6" x14ac:dyDescent="0.25">
      <c r="B12" t="s">
        <v>3</v>
      </c>
      <c r="C12">
        <f>13680+8007+15953+4240+3266+475+19603+4973</f>
        <v>70197</v>
      </c>
      <c r="E12">
        <f>7000+8000+16000+4500+3500+16000+11300+7500+6200</f>
        <v>80000</v>
      </c>
      <c r="F12">
        <f>10570+10501+10808+3398+355+14837+4400</f>
        <v>54869</v>
      </c>
    </row>
    <row r="14" spans="1:6" x14ac:dyDescent="0.25">
      <c r="A14" t="s">
        <v>17</v>
      </c>
      <c r="B14" t="s">
        <v>2</v>
      </c>
      <c r="C14" s="3">
        <f>22698+9705</f>
        <v>32403</v>
      </c>
      <c r="D14" s="3"/>
      <c r="E14">
        <v>49000</v>
      </c>
      <c r="F14">
        <f>31305+16735</f>
        <v>48040</v>
      </c>
    </row>
    <row r="15" spans="1:6" x14ac:dyDescent="0.25">
      <c r="B15" t="s">
        <v>3</v>
      </c>
      <c r="C15">
        <f>7703+1590</f>
        <v>9293</v>
      </c>
      <c r="E15">
        <f>15000</f>
        <v>15000</v>
      </c>
      <c r="F15">
        <f>12112+1708</f>
        <v>13820</v>
      </c>
    </row>
    <row r="16" spans="1:6" ht="45" x14ac:dyDescent="0.25">
      <c r="A16" s="9" t="s">
        <v>16</v>
      </c>
      <c r="B16" s="9" t="s">
        <v>3</v>
      </c>
      <c r="C16" s="9">
        <f>3292+277+5514</f>
        <v>9083</v>
      </c>
      <c r="D16" s="9"/>
      <c r="E16" s="9">
        <f>10000+10000+5000</f>
        <v>25000</v>
      </c>
      <c r="F16" s="9">
        <f>483+2672</f>
        <v>3155</v>
      </c>
    </row>
    <row r="18" spans="1:6" x14ac:dyDescent="0.25">
      <c r="A18" t="s">
        <v>8</v>
      </c>
      <c r="B18" t="s">
        <v>2</v>
      </c>
      <c r="C18">
        <v>16949</v>
      </c>
      <c r="E18">
        <v>20000</v>
      </c>
      <c r="F18">
        <v>16220</v>
      </c>
    </row>
    <row r="19" spans="1:6" x14ac:dyDescent="0.25">
      <c r="B19" t="s">
        <v>3</v>
      </c>
      <c r="C19">
        <f>614+19402</f>
        <v>20016</v>
      </c>
      <c r="E19">
        <v>20000</v>
      </c>
      <c r="F19">
        <v>19410</v>
      </c>
    </row>
    <row r="21" spans="1:6" x14ac:dyDescent="0.25">
      <c r="A21" t="s">
        <v>5</v>
      </c>
      <c r="B21" t="s">
        <v>2</v>
      </c>
      <c r="C21">
        <f>10400</f>
        <v>10400</v>
      </c>
      <c r="E21">
        <v>10400</v>
      </c>
      <c r="F21">
        <f>10400</f>
        <v>10400</v>
      </c>
    </row>
    <row r="23" spans="1:6" x14ac:dyDescent="0.25">
      <c r="A23" t="s">
        <v>6</v>
      </c>
      <c r="B23" t="s">
        <v>2</v>
      </c>
      <c r="C23">
        <v>1400</v>
      </c>
      <c r="F23">
        <f>3500+400</f>
        <v>3900</v>
      </c>
    </row>
    <row r="24" spans="1:6" x14ac:dyDescent="0.25">
      <c r="B24" t="s">
        <v>3</v>
      </c>
      <c r="C24">
        <f>3218+674+2400+956+1311+315+469+1422+843+1907</f>
        <v>13515</v>
      </c>
      <c r="E24">
        <f>1000+4500+2500+3500+1300+3000+5000</f>
        <v>20800</v>
      </c>
      <c r="F24">
        <f>1530+799+1238+534+1549+160+394+350+681+609+200</f>
        <v>8044</v>
      </c>
    </row>
    <row r="26" spans="1:6" x14ac:dyDescent="0.25">
      <c r="A26" t="s">
        <v>9</v>
      </c>
      <c r="B26" t="s">
        <v>2</v>
      </c>
      <c r="C26" s="8">
        <f>C5+C8+C14+C18+C21+C23+C11</f>
        <v>248817</v>
      </c>
      <c r="D26" s="8"/>
      <c r="E26">
        <f>E5+E8+E11+E14+E18+E21+E23</f>
        <v>256100</v>
      </c>
      <c r="F26">
        <f>F5+F8+F11+F14+F18+F21+F23</f>
        <v>231311</v>
      </c>
    </row>
    <row r="27" spans="1:6" x14ac:dyDescent="0.25">
      <c r="B27" t="s">
        <v>3</v>
      </c>
      <c r="C27">
        <f>C6+C9+C19+C24+C12+C15+C16</f>
        <v>203947</v>
      </c>
      <c r="E27">
        <f>E6+E9+E12+E19+E24+E15+E16</f>
        <v>255150</v>
      </c>
      <c r="F27">
        <f>F6+F9+F12+F19+F24+F15+F16</f>
        <v>187897</v>
      </c>
    </row>
    <row r="28" spans="1:6" x14ac:dyDescent="0.25">
      <c r="C28">
        <f>C26-C27</f>
        <v>44870</v>
      </c>
      <c r="E28">
        <f>E26-E27</f>
        <v>950</v>
      </c>
      <c r="F28">
        <f>F26-F27</f>
        <v>43414</v>
      </c>
    </row>
    <row r="31" spans="1:6" x14ac:dyDescent="0.25">
      <c r="A31" t="s">
        <v>83</v>
      </c>
    </row>
    <row r="33" spans="1:3" x14ac:dyDescent="0.25">
      <c r="A33" t="s">
        <v>11</v>
      </c>
      <c r="C33">
        <v>556502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D29" sqref="D29"/>
    </sheetView>
  </sheetViews>
  <sheetFormatPr defaultRowHeight="15" x14ac:dyDescent="0.25"/>
  <cols>
    <col min="1" max="1" width="20.140625" customWidth="1"/>
    <col min="2" max="2" width="11.42578125" customWidth="1"/>
    <col min="5" max="5" width="10.5703125" customWidth="1"/>
    <col min="6" max="6" width="14.7109375" customWidth="1"/>
  </cols>
  <sheetData>
    <row r="1" spans="1:6" x14ac:dyDescent="0.25">
      <c r="A1" t="s">
        <v>0</v>
      </c>
    </row>
    <row r="3" spans="1:6" x14ac:dyDescent="0.25">
      <c r="A3" t="s">
        <v>84</v>
      </c>
      <c r="C3" s="1" t="s">
        <v>85</v>
      </c>
      <c r="D3" s="1"/>
      <c r="E3" s="1" t="s">
        <v>7</v>
      </c>
      <c r="F3" s="1" t="s">
        <v>86</v>
      </c>
    </row>
    <row r="5" spans="1:6" x14ac:dyDescent="0.25">
      <c r="A5" t="s">
        <v>1</v>
      </c>
      <c r="B5" t="s">
        <v>2</v>
      </c>
      <c r="C5" s="8">
        <f>101752+3650+3450+100+700+36990-30300</f>
        <v>116342</v>
      </c>
      <c r="D5" s="8"/>
      <c r="E5">
        <v>92000</v>
      </c>
      <c r="F5">
        <f>71522+8350+6500+250+15920</f>
        <v>102542</v>
      </c>
    </row>
    <row r="6" spans="1:6" x14ac:dyDescent="0.25">
      <c r="B6" t="s">
        <v>3</v>
      </c>
      <c r="C6">
        <f>SUM(17411)</f>
        <v>17411</v>
      </c>
      <c r="D6" s="8"/>
      <c r="E6">
        <f>12000+14500</f>
        <v>26500</v>
      </c>
      <c r="F6">
        <f>SUM(10690+28364)</f>
        <v>39054</v>
      </c>
    </row>
    <row r="8" spans="1:6" x14ac:dyDescent="0.25">
      <c r="A8" t="s">
        <v>4</v>
      </c>
      <c r="B8" t="s">
        <v>2</v>
      </c>
      <c r="C8">
        <f>1710+5905+6350+7415+52060+9050+2910+1050</f>
        <v>86450</v>
      </c>
      <c r="E8">
        <v>82700</v>
      </c>
      <c r="F8">
        <f>SUM(1520+4290+4945+11775+42145+17320+5980)</f>
        <v>87975</v>
      </c>
    </row>
    <row r="9" spans="1:6" x14ac:dyDescent="0.25">
      <c r="B9" t="s">
        <v>3</v>
      </c>
      <c r="C9">
        <f>3780+2500+4142+3739+150+188+2425+3454+8461+4576+2200+37206-314</f>
        <v>72507</v>
      </c>
      <c r="E9">
        <f>63850+4000</f>
        <v>67850</v>
      </c>
      <c r="F9">
        <f>6369+2000+111+1828+438+1557+1446+2000+7650+8484+4861+30477+7096</f>
        <v>74317</v>
      </c>
    </row>
    <row r="11" spans="1:6" x14ac:dyDescent="0.25">
      <c r="A11" t="s">
        <v>10</v>
      </c>
      <c r="B11" t="s">
        <v>2</v>
      </c>
      <c r="E11">
        <v>2000</v>
      </c>
    </row>
    <row r="12" spans="1:6" x14ac:dyDescent="0.25">
      <c r="B12" t="s">
        <v>3</v>
      </c>
      <c r="C12">
        <f>13680+8007+20799+4240+3266+475+19603+4973+11326</f>
        <v>86369</v>
      </c>
      <c r="E12">
        <f>7000+8000+16000+4500+3500+16000+11300+7500+6200</f>
        <v>80000</v>
      </c>
      <c r="F12">
        <f>6250+8001+14813+4320+3398+9745+14837+4400+11326+2221</f>
        <v>79311</v>
      </c>
    </row>
    <row r="14" spans="1:6" x14ac:dyDescent="0.25">
      <c r="A14" t="s">
        <v>17</v>
      </c>
      <c r="B14" t="s">
        <v>2</v>
      </c>
      <c r="C14" s="3">
        <f>23228+9705</f>
        <v>32933</v>
      </c>
      <c r="D14" s="3"/>
      <c r="E14">
        <v>49000</v>
      </c>
      <c r="F14">
        <f>32830+16980</f>
        <v>49810</v>
      </c>
    </row>
    <row r="15" spans="1:6" x14ac:dyDescent="0.25">
      <c r="B15" t="s">
        <v>3</v>
      </c>
      <c r="C15">
        <f>7703+1590</f>
        <v>9293</v>
      </c>
      <c r="E15">
        <f>15000</f>
        <v>15000</v>
      </c>
      <c r="F15">
        <f>12802+1708</f>
        <v>14510</v>
      </c>
    </row>
    <row r="16" spans="1:6" ht="45" x14ac:dyDescent="0.25">
      <c r="A16" s="9" t="s">
        <v>16</v>
      </c>
      <c r="B16" s="9" t="s">
        <v>3</v>
      </c>
      <c r="C16" s="9">
        <f>3292+306+10484</f>
        <v>14082</v>
      </c>
      <c r="D16" s="9"/>
      <c r="E16" s="9">
        <f>10000+10000+5000</f>
        <v>25000</v>
      </c>
      <c r="F16" s="9">
        <f>3127+75+5113</f>
        <v>8315</v>
      </c>
    </row>
    <row r="18" spans="1:6" x14ac:dyDescent="0.25">
      <c r="A18" t="s">
        <v>8</v>
      </c>
      <c r="B18" t="s">
        <v>2</v>
      </c>
      <c r="C18">
        <v>17357</v>
      </c>
      <c r="E18">
        <v>20000</v>
      </c>
      <c r="F18">
        <v>16113</v>
      </c>
    </row>
    <row r="19" spans="1:6" x14ac:dyDescent="0.25">
      <c r="B19" t="s">
        <v>3</v>
      </c>
      <c r="C19">
        <f>614+21198</f>
        <v>21812</v>
      </c>
      <c r="E19">
        <v>20000</v>
      </c>
      <c r="F19">
        <v>20515</v>
      </c>
    </row>
    <row r="21" spans="1:6" x14ac:dyDescent="0.25">
      <c r="A21" t="s">
        <v>5</v>
      </c>
      <c r="B21" t="s">
        <v>2</v>
      </c>
      <c r="C21">
        <f>10400</f>
        <v>10400</v>
      </c>
      <c r="E21">
        <v>10400</v>
      </c>
      <c r="F21">
        <f>10400</f>
        <v>10400</v>
      </c>
    </row>
    <row r="23" spans="1:6" x14ac:dyDescent="0.25">
      <c r="A23" t="s">
        <v>6</v>
      </c>
      <c r="B23" t="s">
        <v>2</v>
      </c>
      <c r="C23">
        <v>1400</v>
      </c>
      <c r="F23">
        <f>3500+400</f>
        <v>3900</v>
      </c>
    </row>
    <row r="24" spans="1:6" x14ac:dyDescent="0.25">
      <c r="B24" t="s">
        <v>3</v>
      </c>
      <c r="C24">
        <f>150+3218+674+2882+956+1609+2135+469+1422+843+3505</f>
        <v>17863</v>
      </c>
      <c r="E24">
        <f>1000+4500+2500+3500+1300+3000+5000</f>
        <v>20800</v>
      </c>
      <c r="F24">
        <f>1722+799+7056+1238+712+3078+1549+160+1684+350+681+609+253</f>
        <v>19891</v>
      </c>
    </row>
    <row r="26" spans="1:6" x14ac:dyDescent="0.25">
      <c r="A26" t="s">
        <v>9</v>
      </c>
      <c r="B26" t="s">
        <v>2</v>
      </c>
      <c r="C26" s="8">
        <f>C5+C8+C14+C18+C21+C23+C11</f>
        <v>264882</v>
      </c>
      <c r="D26" s="8"/>
      <c r="E26">
        <f>E5+E8+E11+E14+E18+E21+E23</f>
        <v>256100</v>
      </c>
      <c r="F26">
        <f>F5+F8+F11+F14+F18+F21+F23</f>
        <v>270740</v>
      </c>
    </row>
    <row r="27" spans="1:6" x14ac:dyDescent="0.25">
      <c r="B27" t="s">
        <v>3</v>
      </c>
      <c r="C27">
        <f>C6+C9+C19+C24+C12+C15+C16</f>
        <v>239337</v>
      </c>
      <c r="E27">
        <f>E6+E9+E12+E19+E24+E15+E16</f>
        <v>255150</v>
      </c>
      <c r="F27">
        <f>F6+F9+F12+F19+F24+F15+F16</f>
        <v>255913</v>
      </c>
    </row>
    <row r="28" spans="1:6" x14ac:dyDescent="0.25">
      <c r="C28">
        <f>C26-C27</f>
        <v>25545</v>
      </c>
      <c r="E28">
        <f>E26-E27</f>
        <v>950</v>
      </c>
      <c r="F28">
        <f>F26-F27</f>
        <v>14827</v>
      </c>
    </row>
    <row r="31" spans="1:6" x14ac:dyDescent="0.25">
      <c r="A31" t="s">
        <v>87</v>
      </c>
    </row>
    <row r="33" spans="1:3" x14ac:dyDescent="0.25">
      <c r="A33" t="s">
        <v>11</v>
      </c>
      <c r="C33">
        <v>541852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170228</vt:lpstr>
      <vt:lpstr>170331</vt:lpstr>
      <vt:lpstr>170430</vt:lpstr>
      <vt:lpstr>170531</vt:lpstr>
      <vt:lpstr>170831</vt:lpstr>
      <vt:lpstr>170930</vt:lpstr>
      <vt:lpstr>171031</vt:lpstr>
      <vt:lpstr>171130</vt:lpstr>
      <vt:lpstr>171231</vt:lpstr>
      <vt:lpstr>--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</dc:creator>
  <cp:lastModifiedBy>Anette</cp:lastModifiedBy>
  <cp:lastPrinted>2018-01-12T16:56:44Z</cp:lastPrinted>
  <dcterms:created xsi:type="dcterms:W3CDTF">2016-04-09T08:39:34Z</dcterms:created>
  <dcterms:modified xsi:type="dcterms:W3CDTF">2018-01-12T16:56:49Z</dcterms:modified>
</cp:coreProperties>
</file>